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pr-ureg-docs\ofreg ni\NETWORK GROUP\Price Controls\NIEN RP7\40 = UR Docs\40_92 = Final determination\RP7 FD Annexes\Annex M - Incentives\"/>
    </mc:Choice>
  </mc:AlternateContent>
  <xr:revisionPtr revIDLastSave="0" documentId="13_ncr:1_{AB0A9EB8-1D3A-42F7-BAEA-94D30CEBF7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ver" sheetId="2" r:id="rId1"/>
    <sheet name="Calculations" sheetId="1" r:id="rId2"/>
    <sheet name="Unplanned CMLs" sheetId="6" r:id="rId3"/>
    <sheet name="Planned CML" sheetId="5" r:id="rId4"/>
    <sheet name="Cap-Collar" sheetId="3" r:id="rId5"/>
    <sheet name="FX Rate" sheetId="4" state="hidden" r:id="rId6"/>
  </sheets>
  <definedNames>
    <definedName name="TargetOptions">Calculations!#REF!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5" l="1"/>
  <c r="E24" i="5" s="1"/>
  <c r="E22" i="1" s="1"/>
  <c r="I10" i="1" s="1"/>
  <c r="Q15" i="1" s="1"/>
  <c r="M21" i="1"/>
  <c r="U17" i="1" s="1"/>
  <c r="L21" i="1"/>
  <c r="T17" i="1" s="1"/>
  <c r="K21" i="1"/>
  <c r="S17" i="1" s="1"/>
  <c r="J21" i="1"/>
  <c r="R17" i="1" s="1"/>
  <c r="I21" i="1"/>
  <c r="Q17" i="1" s="1"/>
  <c r="H21" i="1"/>
  <c r="P17" i="1" s="1"/>
  <c r="M13" i="1"/>
  <c r="U10" i="1" s="1"/>
  <c r="L13" i="1"/>
  <c r="T10" i="1" s="1"/>
  <c r="K13" i="1"/>
  <c r="S10" i="1" s="1"/>
  <c r="J13" i="1"/>
  <c r="R10" i="1" s="1"/>
  <c r="I13" i="1"/>
  <c r="Q10" i="1" s="1"/>
  <c r="H13" i="1"/>
  <c r="P10" i="1" s="1"/>
  <c r="D24" i="5"/>
  <c r="E21" i="1" s="1"/>
  <c r="H10" i="1" s="1"/>
  <c r="P15" i="1" s="1"/>
  <c r="V5" i="6"/>
  <c r="V6" i="6"/>
  <c r="V4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V7" i="6" s="1"/>
  <c r="S7" i="6"/>
  <c r="T7" i="6"/>
  <c r="U7" i="6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AB16" i="5"/>
  <c r="AA16" i="5"/>
  <c r="Z16" i="5"/>
  <c r="Y16" i="5"/>
  <c r="X16" i="5"/>
  <c r="W16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E12" i="1"/>
  <c r="E11" i="1"/>
  <c r="V12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C15" i="6"/>
  <c r="V14" i="6"/>
  <c r="V13" i="6"/>
  <c r="E8" i="1"/>
  <c r="E7" i="1"/>
  <c r="E6" i="1"/>
  <c r="E10" i="1" s="1"/>
  <c r="E5" i="1"/>
  <c r="E4" i="1"/>
  <c r="C18" i="3"/>
  <c r="C13" i="3"/>
  <c r="C12" i="3"/>
  <c r="C11" i="3"/>
  <c r="C9" i="3"/>
  <c r="C14" i="3"/>
  <c r="C16" i="3" s="1"/>
  <c r="C5" i="3"/>
  <c r="C8" i="3" s="1"/>
  <c r="I24" i="5" l="1"/>
  <c r="E26" i="1" s="1"/>
  <c r="M10" i="1" s="1"/>
  <c r="H22" i="1"/>
  <c r="P18" i="1" s="1"/>
  <c r="V15" i="6"/>
  <c r="C23" i="6" s="1"/>
  <c r="D23" i="6" s="1"/>
  <c r="E23" i="6" s="1"/>
  <c r="H24" i="5"/>
  <c r="E25" i="1" s="1"/>
  <c r="L10" i="1" s="1"/>
  <c r="T15" i="1" s="1"/>
  <c r="G24" i="5"/>
  <c r="E24" i="1" s="1"/>
  <c r="K10" i="1" s="1"/>
  <c r="S15" i="1" s="1"/>
  <c r="F24" i="5"/>
  <c r="E23" i="1" s="1"/>
  <c r="J10" i="1" s="1"/>
  <c r="R15" i="1" s="1"/>
  <c r="E9" i="1"/>
  <c r="C10" i="3"/>
  <c r="C20" i="3" s="1"/>
  <c r="C15" i="3"/>
  <c r="M11" i="1" l="1"/>
  <c r="U16" i="1" s="1"/>
  <c r="U15" i="1"/>
  <c r="D25" i="6"/>
  <c r="E14" i="1" s="1"/>
  <c r="H6" i="1" s="1"/>
  <c r="E25" i="6"/>
  <c r="E15" i="1" s="1"/>
  <c r="I6" i="1" s="1"/>
  <c r="F23" i="6"/>
  <c r="M9" i="1"/>
  <c r="U14" i="1" s="1"/>
  <c r="G30" i="1"/>
  <c r="G29" i="1"/>
  <c r="O18" i="1"/>
  <c r="O11" i="1"/>
  <c r="I5" i="1" l="1"/>
  <c r="Q7" i="1" s="1"/>
  <c r="Q8" i="1"/>
  <c r="H5" i="1"/>
  <c r="P7" i="1" s="1"/>
  <c r="P8" i="1"/>
  <c r="H14" i="1"/>
  <c r="P11" i="1" s="1"/>
  <c r="G23" i="6"/>
  <c r="F25" i="6"/>
  <c r="E16" i="1" s="1"/>
  <c r="J6" i="1" s="1"/>
  <c r="K22" i="1"/>
  <c r="S18" i="1" s="1"/>
  <c r="H23" i="1"/>
  <c r="H24" i="1" s="1"/>
  <c r="H26" i="1" s="1"/>
  <c r="L9" i="1"/>
  <c r="T14" i="1" s="1"/>
  <c r="I23" i="1"/>
  <c r="I24" i="1" s="1"/>
  <c r="I26" i="1" s="1"/>
  <c r="I7" i="1"/>
  <c r="Q9" i="1" s="1"/>
  <c r="J23" i="1"/>
  <c r="J24" i="1" s="1"/>
  <c r="J26" i="1" s="1"/>
  <c r="L11" i="1"/>
  <c r="T16" i="1" s="1"/>
  <c r="I14" i="1"/>
  <c r="Q11" i="1" s="1"/>
  <c r="H7" i="1"/>
  <c r="P9" i="1" s="1"/>
  <c r="I9" i="1"/>
  <c r="Q14" i="1" s="1"/>
  <c r="I11" i="1"/>
  <c r="Q16" i="1" s="1"/>
  <c r="J9" i="1"/>
  <c r="R14" i="1" s="1"/>
  <c r="J11" i="1"/>
  <c r="R16" i="1" s="1"/>
  <c r="K9" i="1"/>
  <c r="S14" i="1" s="1"/>
  <c r="K11" i="1"/>
  <c r="S16" i="1" s="1"/>
  <c r="H11" i="1"/>
  <c r="P16" i="1" s="1"/>
  <c r="H9" i="1"/>
  <c r="P14" i="1" s="1"/>
  <c r="I22" i="1"/>
  <c r="Q18" i="1" s="1"/>
  <c r="J22" i="1"/>
  <c r="R18" i="1" s="1"/>
  <c r="H15" i="1"/>
  <c r="H16" i="1" s="1"/>
  <c r="H18" i="1" s="1"/>
  <c r="I15" i="1"/>
  <c r="I16" i="1" s="1"/>
  <c r="I18" i="1" s="1"/>
  <c r="J5" i="1" l="1"/>
  <c r="R7" i="1" s="1"/>
  <c r="R8" i="1"/>
  <c r="J14" i="1"/>
  <c r="R11" i="1" s="1"/>
  <c r="J15" i="1"/>
  <c r="J16" i="1" s="1"/>
  <c r="J18" i="1" s="1"/>
  <c r="J7" i="1"/>
  <c r="R9" i="1" s="1"/>
  <c r="G25" i="6"/>
  <c r="E17" i="1" s="1"/>
  <c r="K6" i="1" s="1"/>
  <c r="H23" i="6"/>
  <c r="K23" i="1"/>
  <c r="K24" i="1" s="1"/>
  <c r="K26" i="1" s="1"/>
  <c r="I25" i="1"/>
  <c r="I27" i="1" s="1"/>
  <c r="I30" i="1" s="1"/>
  <c r="H25" i="1"/>
  <c r="H27" i="1" s="1"/>
  <c r="H30" i="1" s="1"/>
  <c r="J25" i="1"/>
  <c r="J27" i="1" s="1"/>
  <c r="J30" i="1" s="1"/>
  <c r="I17" i="1"/>
  <c r="I19" i="1" s="1"/>
  <c r="I29" i="1" s="1"/>
  <c r="H17" i="1"/>
  <c r="H19" i="1" s="1"/>
  <c r="H29" i="1" s="1"/>
  <c r="S8" i="1" l="1"/>
  <c r="K14" i="1"/>
  <c r="S11" i="1" s="1"/>
  <c r="H31" i="1"/>
  <c r="P4" i="1" s="1"/>
  <c r="J17" i="1"/>
  <c r="J19" i="1" s="1"/>
  <c r="J29" i="1" s="1"/>
  <c r="K15" i="1"/>
  <c r="K16" i="1" s="1"/>
  <c r="K17" i="1" s="1"/>
  <c r="K19" i="1" s="1"/>
  <c r="K29" i="1" s="1"/>
  <c r="K25" i="1"/>
  <c r="K27" i="1" s="1"/>
  <c r="K30" i="1" s="1"/>
  <c r="I31" i="1"/>
  <c r="Q4" i="1" s="1"/>
  <c r="K5" i="1"/>
  <c r="S7" i="1" s="1"/>
  <c r="K7" i="1"/>
  <c r="S9" i="1" s="1"/>
  <c r="H25" i="6"/>
  <c r="E18" i="1" s="1"/>
  <c r="L6" i="1" s="1"/>
  <c r="T8" i="1" s="1"/>
  <c r="I23" i="6"/>
  <c r="I25" i="6" s="1"/>
  <c r="E19" i="1" s="1"/>
  <c r="M6" i="1" s="1"/>
  <c r="U8" i="1" s="1"/>
  <c r="M23" i="1"/>
  <c r="M24" i="1" s="1"/>
  <c r="M25" i="1" s="1"/>
  <c r="M27" i="1" s="1"/>
  <c r="M30" i="1" s="1"/>
  <c r="M22" i="1"/>
  <c r="U18" i="1" s="1"/>
  <c r="L22" i="1"/>
  <c r="T18" i="1" s="1"/>
  <c r="L23" i="1"/>
  <c r="L24" i="1" s="1"/>
  <c r="J31" i="1"/>
  <c r="R4" i="1" s="1"/>
  <c r="K18" i="1" l="1"/>
  <c r="L14" i="1"/>
  <c r="T11" i="1" s="1"/>
  <c r="L15" i="1"/>
  <c r="L16" i="1" s="1"/>
  <c r="L18" i="1" s="1"/>
  <c r="M15" i="1"/>
  <c r="M16" i="1" s="1"/>
  <c r="M17" i="1" s="1"/>
  <c r="M19" i="1" s="1"/>
  <c r="M29" i="1" s="1"/>
  <c r="M31" i="1" s="1"/>
  <c r="K31" i="1"/>
  <c r="S4" i="1" s="1"/>
  <c r="M14" i="1"/>
  <c r="U11" i="1" s="1"/>
  <c r="F16" i="2"/>
  <c r="D16" i="2"/>
  <c r="E16" i="2"/>
  <c r="L5" i="1"/>
  <c r="T7" i="1" s="1"/>
  <c r="L7" i="1"/>
  <c r="T9" i="1" s="1"/>
  <c r="M7" i="1"/>
  <c r="U9" i="1" s="1"/>
  <c r="M5" i="1"/>
  <c r="U7" i="1" s="1"/>
  <c r="L17" i="1"/>
  <c r="L19" i="1" s="1"/>
  <c r="L29" i="1" s="1"/>
  <c r="L25" i="1"/>
  <c r="L27" i="1" s="1"/>
  <c r="L30" i="1" s="1"/>
  <c r="L26" i="1"/>
  <c r="M26" i="1"/>
  <c r="G16" i="2" l="1"/>
  <c r="I16" i="2"/>
  <c r="U4" i="1"/>
  <c r="M18" i="1"/>
  <c r="L31" i="1"/>
  <c r="T4" i="1" s="1"/>
  <c r="H16" i="2" l="1"/>
</calcChain>
</file>

<file path=xl/sharedStrings.xml><?xml version="1.0" encoding="utf-8"?>
<sst xmlns="http://schemas.openxmlformats.org/spreadsheetml/2006/main" count="394" uniqueCount="237">
  <si>
    <t>Reliability Incentive Allowance Calculations</t>
  </si>
  <si>
    <t>Key</t>
  </si>
  <si>
    <t>Inputs</t>
  </si>
  <si>
    <t>Calculations</t>
  </si>
  <si>
    <t>Outputs</t>
  </si>
  <si>
    <t>Fixed inputs</t>
  </si>
  <si>
    <t>Fixed inputs (do not change throughout RP6)</t>
  </si>
  <si>
    <t>Calculations dependent on input assumptions</t>
  </si>
  <si>
    <t>Link to other cell in spreadsheet</t>
  </si>
  <si>
    <t>Cost of unplanned customer minute lost (CML)</t>
  </si>
  <si>
    <t>Unplanned customer minutes lost (CML) reliability incentive</t>
  </si>
  <si>
    <t>Total CML penalty or reward</t>
  </si>
  <si>
    <t>Cost of planned customer minute lost (CML)</t>
  </si>
  <si>
    <t>Unplanned customer minutes lost (CML) cap</t>
  </si>
  <si>
    <t>Unplanned customer minutes lost (CML) target</t>
  </si>
  <si>
    <t>% of revenue exposed to reliability incentive allocated to unplanned CML</t>
  </si>
  <si>
    <t>Unplanned customer minutes lost (CML) collar</t>
  </si>
  <si>
    <t>Unplanned CML cap</t>
  </si>
  <si>
    <t>% of revenue exposed to reliability incentive allocated to planned CML</t>
  </si>
  <si>
    <t>Planned customer minutes lost (CML) reliability incentive</t>
  </si>
  <si>
    <t>Unplanned CML target</t>
  </si>
  <si>
    <t>Planned customer minutes lost (CML) cap</t>
  </si>
  <si>
    <t>Unplanned CML collar</t>
  </si>
  <si>
    <t>Planned customer minutes lost (CML) target</t>
  </si>
  <si>
    <t>Unplanned CML achieved by NIE Networks</t>
  </si>
  <si>
    <t>Planned customer minutes lost (CML) collar</t>
  </si>
  <si>
    <t>Unplanned CML penalty or reward calculation</t>
  </si>
  <si>
    <t>Unplanned customer minutes lost (CML) cap and collar</t>
  </si>
  <si>
    <t>Achieved unplanned CML</t>
  </si>
  <si>
    <t>Planned customer minutes lost (CML) cap and collar</t>
  </si>
  <si>
    <t>Did NIE Network beat their unplanned CML target?</t>
  </si>
  <si>
    <t>Planned CML cap</t>
  </si>
  <si>
    <t>Difference between actual and target unplanned CML</t>
  </si>
  <si>
    <t>Planned CML target</t>
  </si>
  <si>
    <t>Unplanned CML penalty/reward calculation (unrestricted)</t>
  </si>
  <si>
    <t>Planned CML collar</t>
  </si>
  <si>
    <t>Beyond cap and floor?</t>
  </si>
  <si>
    <t>Planned CML achieved by NIE Networks</t>
  </si>
  <si>
    <t>Reward or Penalty?</t>
  </si>
  <si>
    <t>Unplanned CML penalty/reward calculation (restricted)</t>
  </si>
  <si>
    <t>Planned CML penalty or reward calculation</t>
  </si>
  <si>
    <t>Achieved planned CML</t>
  </si>
  <si>
    <t>Did NIE Network beat the target?</t>
  </si>
  <si>
    <t>Difference between actual and target planned CML</t>
  </si>
  <si>
    <t>Planned CML penalty/reward calculation (unrestricted)</t>
  </si>
  <si>
    <t>Planned CML penalty/reward calculation (restricted)</t>
  </si>
  <si>
    <t>Total CML penalty or reward calculation</t>
  </si>
  <si>
    <t>Total CML penalty or reward calculation (restricted)</t>
  </si>
  <si>
    <t>Contents</t>
  </si>
  <si>
    <t>RI Allowance &gt;&gt;</t>
  </si>
  <si>
    <t>Licence term</t>
  </si>
  <si>
    <t>Financial Year</t>
  </si>
  <si>
    <t>Reward / Penalty</t>
  </si>
  <si>
    <t>Year</t>
  </si>
  <si>
    <t>Notes: Outturn unplanned and planned CML</t>
  </si>
  <si>
    <t>to be inserted when they become available</t>
  </si>
  <si>
    <t>2024/25</t>
  </si>
  <si>
    <t>UR RELIABILITY INCENTIVE MODEL FOR RP7 FINAL DETERMINATION</t>
  </si>
  <si>
    <t>2025/26</t>
  </si>
  <si>
    <t>2026/27</t>
  </si>
  <si>
    <t>2027/28</t>
  </si>
  <si>
    <t>2028/29</t>
  </si>
  <si>
    <t>2029/30</t>
  </si>
  <si>
    <t>2030/31</t>
  </si>
  <si>
    <t>Reliability Incentive Rewards / Penalties (£ million 2021/22 prices)</t>
  </si>
  <si>
    <t xml:space="preserve">Calculations </t>
  </si>
  <si>
    <t xml:space="preserve">Calculates penalty or reward based on RP7 outturn data. </t>
  </si>
  <si>
    <t>Input Data</t>
  </si>
  <si>
    <t>Figures</t>
  </si>
  <si>
    <t>UoM</t>
  </si>
  <si>
    <t>Source</t>
  </si>
  <si>
    <t>Annual electricity consumption</t>
  </si>
  <si>
    <t xml:space="preserve">kWh </t>
  </si>
  <si>
    <t>EJP 1.801 - Table 6</t>
  </si>
  <si>
    <t>Total hours in a year</t>
  </si>
  <si>
    <t>Hours</t>
  </si>
  <si>
    <t>Number of meters</t>
  </si>
  <si>
    <t>Number</t>
  </si>
  <si>
    <t>Customer numbers used for CML</t>
  </si>
  <si>
    <t>Average consumption per hour</t>
  </si>
  <si>
    <t>kWh per customer</t>
  </si>
  <si>
    <t>Calculated</t>
  </si>
  <si>
    <t>Value of Lost Load (VOLL)</t>
  </si>
  <si>
    <t>£/kWhr</t>
  </si>
  <si>
    <t>Cost per hour per customer</t>
  </si>
  <si>
    <t>Cost of customer hour lost</t>
  </si>
  <si>
    <t>£</t>
  </si>
  <si>
    <t>Cost of unplanned CML</t>
  </si>
  <si>
    <t>Cost of planned CML</t>
  </si>
  <si>
    <t>Average annual RP7 revenue exposure</t>
  </si>
  <si>
    <t>2021/22 prices (FD)</t>
  </si>
  <si>
    <t>Unplanned CML revenue allowance (4/5)</t>
  </si>
  <si>
    <t>Planned CML revenue allowance (1/5)</t>
  </si>
  <si>
    <t>Unplanned CML cap/collar</t>
  </si>
  <si>
    <t>All years - CML</t>
  </si>
  <si>
    <t>Planned CML cap/collar</t>
  </si>
  <si>
    <t>CML Financial Calculations - Cap / Collar</t>
  </si>
  <si>
    <t xml:space="preserve">https://www.ons.gov.uk/economy/nationalaccounts/balanceofpayments/timeseries/thap/mret </t>
  </si>
  <si>
    <t>Title</t>
  </si>
  <si>
    <t>Average Sterling exchange rate: Euro XUMAERS</t>
  </si>
  <si>
    <t>CDID</t>
  </si>
  <si>
    <t>THAP</t>
  </si>
  <si>
    <t>Source dataset ID</t>
  </si>
  <si>
    <t>MRET</t>
  </si>
  <si>
    <t>PreUnit</t>
  </si>
  <si>
    <t/>
  </si>
  <si>
    <t>Unit</t>
  </si>
  <si>
    <t>Release date</t>
  </si>
  <si>
    <t>15-08-2024</t>
  </si>
  <si>
    <t>Next release</t>
  </si>
  <si>
    <t>11 September 2024</t>
  </si>
  <si>
    <t>Important notes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</si>
  <si>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</si>
  <si>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</si>
  <si>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</si>
  <si>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</si>
  <si>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</si>
  <si>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</si>
  <si>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</si>
  <si>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</si>
  <si>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</si>
  <si>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</si>
  <si>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</si>
  <si>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</si>
  <si>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</si>
  <si>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</si>
  <si>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</si>
  <si>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</si>
  <si>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</si>
  <si>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</si>
  <si>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</si>
  <si>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</si>
  <si>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</si>
  <si>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</si>
  <si>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</si>
  <si>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</si>
  <si>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</si>
  <si>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</si>
  <si>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</si>
  <si>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</si>
  <si>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</si>
  <si>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</si>
  <si>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</si>
  <si>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</si>
  <si>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</si>
  <si>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</si>
  <si>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</si>
  <si>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</si>
  <si>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</si>
  <si>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</si>
  <si>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</si>
  <si>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</si>
  <si>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</si>
  <si>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</si>
  <si>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</si>
  <si>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</si>
  <si>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</si>
  <si>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</si>
  <si>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</si>
  <si>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</si>
  <si>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</si>
  <si>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Annual revenue exposure</t>
  </si>
  <si>
    <t>Cap-Collar</t>
  </si>
  <si>
    <t>Sets out values to calculate the cap and collar for RI targets</t>
  </si>
  <si>
    <t>Unplanned CML</t>
  </si>
  <si>
    <t>Details basis of unplanned CML targets</t>
  </si>
  <si>
    <t>Planned CML</t>
  </si>
  <si>
    <t>Details basis of planned CML targets</t>
  </si>
  <si>
    <t>Outturn Unplanned and Planned CML during RP7</t>
  </si>
  <si>
    <t>throughout RP7.</t>
  </si>
  <si>
    <t>Performance Criteria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</si>
  <si>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</si>
  <si>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</si>
  <si>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</si>
  <si>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</si>
  <si>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</si>
  <si>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</si>
  <si>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</si>
  <si>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</si>
  <si>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</si>
  <si>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</si>
  <si>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</si>
  <si>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</si>
  <si>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</si>
  <si>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</si>
  <si>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</si>
  <si>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</si>
  <si>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</si>
  <si>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</si>
  <si>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</si>
  <si>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4-Year Average</t>
  </si>
  <si>
    <t>Customer Interruptions</t>
  </si>
  <si>
    <t>- LV</t>
  </si>
  <si>
    <t>- HV</t>
  </si>
  <si>
    <t>- EHV</t>
  </si>
  <si>
    <t>- Total</t>
  </si>
  <si>
    <t>(b) Planned Outages</t>
  </si>
  <si>
    <t>(c) Other Systems</t>
  </si>
  <si>
    <t>(d) Total (a)+(b)+(c)</t>
  </si>
  <si>
    <t>Customer Minute Loss</t>
  </si>
  <si>
    <t>Chart Data</t>
  </si>
  <si>
    <t>RP7</t>
  </si>
  <si>
    <t>2024-2025</t>
  </si>
  <si>
    <t>2025-2026</t>
  </si>
  <si>
    <t>2026-2027</t>
  </si>
  <si>
    <t>2027-2028</t>
  </si>
  <si>
    <t>2028-2029</t>
  </si>
  <si>
    <t>2029-2030</t>
  </si>
  <si>
    <t>2030-2031</t>
  </si>
  <si>
    <t>Target Unplanned CML</t>
  </si>
  <si>
    <t>Unplanned CML reliability incentive</t>
  </si>
  <si>
    <t>Planned CML reliability incentive</t>
  </si>
  <si>
    <t>Unplanned CML target - 2025/26</t>
  </si>
  <si>
    <t>Unplanned CML target - 2026/27</t>
  </si>
  <si>
    <t>Unplanned CML target - 2027/28</t>
  </si>
  <si>
    <t>Unplanned CML target - 2028/29</t>
  </si>
  <si>
    <t>Unplanned CML target - 2029/30</t>
  </si>
  <si>
    <t>Unplanned CML target - 2030/31</t>
  </si>
  <si>
    <t>Planned CML target - 2025/26</t>
  </si>
  <si>
    <t>Planned CML target - 2026/27</t>
  </si>
  <si>
    <t>Planned  CML target - 2027/28</t>
  </si>
  <si>
    <t>Planned CML target - 2028/29</t>
  </si>
  <si>
    <t>Planned  CML target - 2029/30</t>
  </si>
  <si>
    <t>Planned  CML target - 2030/31</t>
  </si>
  <si>
    <t>Unplanned CML (2% reductions)</t>
  </si>
  <si>
    <t>RP7 Work Impact</t>
  </si>
  <si>
    <t>Amount of exposed distribution revenue under the reliability incentive allocated to unplanned CMLs</t>
  </si>
  <si>
    <t>Amount of exposed distribution revenue under the reliability incentive allocated to planned CMLs</t>
  </si>
  <si>
    <t>Unplanned CML target for RP7</t>
  </si>
  <si>
    <t>Unplanned CML Target
(2% Reduction &amp; Adjustment for NIP)</t>
  </si>
  <si>
    <t>RP7 FD Decision</t>
  </si>
  <si>
    <t xml:space="preserve">Planned CML </t>
  </si>
  <si>
    <t>Tailored Ofgem Approach (3-year average with a 2 year lag plus 5 CMLs)</t>
  </si>
  <si>
    <t>Planned CML target for RP7 (targets in yellow to be updated over RP7 based on outturn data)</t>
  </si>
  <si>
    <t>RP7 Inputs</t>
  </si>
  <si>
    <t>Plannned CML Targets</t>
  </si>
  <si>
    <t>Unplannned CML Targets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</si>
</sst>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0.0%"/>
    <numFmt numFmtId="166" formatCode="0.00_ ;\-0.00\ "/>
    <numFmt numFmtId="167" formatCode="_-* #,##0_-;\-* #,##0_-;_-* &quot;-&quot;??_-;_-@_-"/>
    <numFmt numFmtId="168" formatCode="&quot;£&quot;#,##0.00"/>
    <numFmt numFmtId="169" formatCode="0.000"/>
    <numFmt numFmtId="170" formatCode="0.0"/>
    <numFmt numFmtId="171" formatCode="#,##0_ ;\-#,##0\ "/>
    <numFmt numFmtId="172" formatCode="_-&quot;£&quot;* #,##0_-;\-&quot;£&quot;* #,##0_-;_-&quot;£&quot;* &quot;-&quot;??_-;_-@_-"/>
    <numFmt numFmtId="173" formatCode="_-[$£-809]* #,##0_-;\-[$£-809]* #,##0_-;_-[$£-809]* &quot;-&quot;??_-;_-@_-"/>
    <numFmt numFmtId="174" formatCode="#,##0.00_ ;\-#,##0.00\ "/>
    <numFmt numFmtId="175" formatCode="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6600"/>
      <name val="Arial"/>
      <family val="2"/>
    </font>
    <font>
      <sz val="10"/>
      <color rgb="FF006600"/>
      <name val="Arial"/>
      <family val="2"/>
    </font>
    <font>
      <sz val="10"/>
      <color rgb="FFFF0000"/>
      <name val="Arial"/>
      <family val="2"/>
    </font>
    <font>
      <b/>
      <u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228">
    <xf numFmtId="0" fontId="0" fillId="0" borderId="0" xfId="0"/>
    <xf numFmtId="0" fontId="0" fillId="3" borderId="7" xfId="0" applyFill="1" applyBorder="1" applyProtection="1">
      <protection locked="0"/>
    </xf>
    <xf numFmtId="0" fontId="6" fillId="3" borderId="0" xfId="0" applyFont="1" applyFill="1"/>
    <xf numFmtId="0" fontId="7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9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3" borderId="7" xfId="0" applyFont="1" applyFill="1" applyBorder="1"/>
    <xf numFmtId="0" fontId="6" fillId="3" borderId="13" xfId="0" applyFont="1" applyFill="1" applyBorder="1"/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indent="1"/>
    </xf>
    <xf numFmtId="0" fontId="6" fillId="3" borderId="4" xfId="0" applyFont="1" applyFill="1" applyBorder="1"/>
    <xf numFmtId="0" fontId="6" fillId="3" borderId="6" xfId="0" applyFont="1" applyFill="1" applyBorder="1"/>
    <xf numFmtId="0" fontId="6" fillId="3" borderId="5" xfId="0" applyFont="1" applyFill="1" applyBorder="1"/>
    <xf numFmtId="0" fontId="7" fillId="7" borderId="1" xfId="0" applyFont="1" applyFill="1" applyBorder="1"/>
    <xf numFmtId="0" fontId="8" fillId="7" borderId="2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10" fillId="3" borderId="9" xfId="0" applyFont="1" applyFill="1" applyBorder="1"/>
    <xf numFmtId="0" fontId="10" fillId="3" borderId="21" xfId="0" applyFont="1" applyFill="1" applyBorder="1"/>
    <xf numFmtId="0" fontId="9" fillId="3" borderId="21" xfId="0" applyFont="1" applyFill="1" applyBorder="1"/>
    <xf numFmtId="0" fontId="6" fillId="3" borderId="21" xfId="0" applyFont="1" applyFill="1" applyBorder="1"/>
    <xf numFmtId="0" fontId="6" fillId="3" borderId="22" xfId="0" applyFont="1" applyFill="1" applyBorder="1"/>
    <xf numFmtId="0" fontId="6" fillId="3" borderId="8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7" xfId="0" applyFill="1" applyBorder="1"/>
    <xf numFmtId="169" fontId="6" fillId="3" borderId="2" xfId="0" applyNumberFormat="1" applyFont="1" applyFill="1" applyBorder="1" applyAlignment="1">
      <alignment horizontal="center"/>
    </xf>
    <xf numFmtId="169" fontId="6" fillId="3" borderId="3" xfId="0" applyNumberFormat="1" applyFont="1" applyFill="1" applyBorder="1" applyAlignment="1">
      <alignment horizontal="center"/>
    </xf>
    <xf numFmtId="0" fontId="6" fillId="3" borderId="14" xfId="0" applyFont="1" applyFill="1" applyBorder="1"/>
    <xf numFmtId="0" fontId="2" fillId="8" borderId="1" xfId="0" applyFont="1" applyFill="1" applyBorder="1" applyProtection="1">
      <protection locked="0"/>
    </xf>
    <xf numFmtId="0" fontId="2" fillId="8" borderId="4" xfId="0" applyFon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6" fillId="8" borderId="6" xfId="0" applyFont="1" applyFill="1" applyBorder="1"/>
    <xf numFmtId="0" fontId="6" fillId="8" borderId="5" xfId="0" applyFont="1" applyFill="1" applyBorder="1"/>
    <xf numFmtId="0" fontId="3" fillId="4" borderId="4" xfId="0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11" fillId="3" borderId="7" xfId="0" applyFont="1" applyFill="1" applyBorder="1"/>
    <xf numFmtId="0" fontId="11" fillId="3" borderId="0" xfId="0" applyFont="1" applyFill="1"/>
    <xf numFmtId="0" fontId="11" fillId="3" borderId="13" xfId="0" applyFont="1" applyFill="1" applyBorder="1"/>
    <xf numFmtId="0" fontId="11" fillId="3" borderId="4" xfId="0" applyFont="1" applyFill="1" applyBorder="1"/>
    <xf numFmtId="0" fontId="11" fillId="3" borderId="6" xfId="0" applyFont="1" applyFill="1" applyBorder="1"/>
    <xf numFmtId="0" fontId="11" fillId="3" borderId="5" xfId="0" applyFont="1" applyFill="1" applyBorder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12" borderId="8" xfId="0" applyFill="1" applyBorder="1" applyProtection="1">
      <protection locked="0"/>
    </xf>
    <xf numFmtId="0" fontId="6" fillId="3" borderId="0" xfId="0" applyFont="1" applyFill="1" applyAlignment="1">
      <alignment horizontal="center"/>
    </xf>
    <xf numFmtId="169" fontId="6" fillId="3" borderId="0" xfId="0" applyNumberFormat="1" applyFont="1" applyFill="1" applyAlignment="1">
      <alignment horizontal="center"/>
    </xf>
    <xf numFmtId="0" fontId="14" fillId="0" borderId="0" xfId="0" applyFont="1"/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170" fontId="14" fillId="3" borderId="24" xfId="0" applyNumberFormat="1" applyFont="1" applyFill="1" applyBorder="1"/>
    <xf numFmtId="3" fontId="14" fillId="3" borderId="24" xfId="1" applyNumberFormat="1" applyFont="1" applyFill="1" applyBorder="1" applyAlignment="1">
      <alignment horizontal="center"/>
    </xf>
    <xf numFmtId="170" fontId="14" fillId="3" borderId="24" xfId="0" applyNumberFormat="1" applyFont="1" applyFill="1" applyBorder="1" applyAlignment="1">
      <alignment horizontal="center"/>
    </xf>
    <xf numFmtId="0" fontId="14" fillId="3" borderId="24" xfId="0" applyFont="1" applyFill="1" applyBorder="1"/>
    <xf numFmtId="3" fontId="14" fillId="3" borderId="24" xfId="0" applyNumberFormat="1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171" fontId="14" fillId="3" borderId="24" xfId="1" applyNumberFormat="1" applyFont="1" applyFill="1" applyBorder="1" applyAlignment="1">
      <alignment horizontal="center"/>
    </xf>
    <xf numFmtId="169" fontId="14" fillId="3" borderId="24" xfId="0" applyNumberFormat="1" applyFont="1" applyFill="1" applyBorder="1" applyAlignment="1">
      <alignment horizontal="center"/>
    </xf>
    <xf numFmtId="44" fontId="14" fillId="3" borderId="24" xfId="3" applyFont="1" applyFill="1" applyBorder="1"/>
    <xf numFmtId="172" fontId="14" fillId="3" borderId="24" xfId="3" applyNumberFormat="1" applyFont="1" applyFill="1" applyBorder="1"/>
    <xf numFmtId="173" fontId="14" fillId="3" borderId="24" xfId="1" applyNumberFormat="1" applyFont="1" applyFill="1" applyBorder="1"/>
    <xf numFmtId="0" fontId="14" fillId="3" borderId="24" xfId="0" quotePrefix="1" applyFont="1" applyFill="1" applyBorder="1" applyAlignment="1">
      <alignment horizontal="center"/>
    </xf>
    <xf numFmtId="170" fontId="16" fillId="3" borderId="24" xfId="4" applyNumberFormat="1" applyFont="1" applyFill="1" applyBorder="1"/>
    <xf numFmtId="0" fontId="15" fillId="2" borderId="25" xfId="0" applyFont="1" applyFill="1" applyBorder="1"/>
    <xf numFmtId="0" fontId="15" fillId="2" borderId="26" xfId="0" applyFont="1" applyFill="1" applyBorder="1"/>
    <xf numFmtId="0" fontId="15" fillId="3" borderId="0" xfId="0" applyFont="1" applyFill="1"/>
    <xf numFmtId="174" fontId="14" fillId="3" borderId="24" xfId="1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27" xfId="0" applyFont="1" applyFill="1" applyBorder="1"/>
    <xf numFmtId="0" fontId="15" fillId="2" borderId="28" xfId="0" applyFont="1" applyFill="1" applyBorder="1"/>
    <xf numFmtId="0" fontId="18" fillId="0" borderId="0" xfId="5" applyFont="1"/>
    <xf numFmtId="175" fontId="14" fillId="0" borderId="0" xfId="0" applyNumberFormat="1" applyFont="1"/>
    <xf numFmtId="0" fontId="14" fillId="10" borderId="0" xfId="0" applyFont="1" applyFill="1"/>
    <xf numFmtId="175" fontId="14" fillId="10" borderId="0" xfId="0" applyNumberFormat="1" applyFont="1" applyFill="1"/>
    <xf numFmtId="44" fontId="14" fillId="0" borderId="24" xfId="3" applyFont="1" applyFill="1" applyBorder="1"/>
    <xf numFmtId="0" fontId="14" fillId="0" borderId="29" xfId="0" applyFont="1" applyBorder="1"/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9" xfId="0" applyFont="1" applyBorder="1"/>
    <xf numFmtId="0" fontId="19" fillId="0" borderId="29" xfId="0" applyFont="1" applyBorder="1"/>
    <xf numFmtId="170" fontId="14" fillId="0" borderId="29" xfId="1" applyNumberFormat="1" applyFont="1" applyBorder="1" applyAlignment="1">
      <alignment horizontal="center"/>
    </xf>
    <xf numFmtId="170" fontId="14" fillId="0" borderId="29" xfId="0" applyNumberFormat="1" applyFont="1" applyBorder="1" applyAlignment="1">
      <alignment horizontal="center"/>
    </xf>
    <xf numFmtId="170" fontId="14" fillId="0" borderId="30" xfId="0" applyNumberFormat="1" applyFont="1" applyBorder="1" applyAlignment="1">
      <alignment horizontal="center"/>
    </xf>
    <xf numFmtId="170" fontId="14" fillId="0" borderId="24" xfId="0" applyNumberFormat="1" applyFont="1" applyBorder="1" applyAlignment="1">
      <alignment horizontal="center"/>
    </xf>
    <xf numFmtId="170" fontId="20" fillId="0" borderId="29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7" xfId="0" applyFont="1" applyBorder="1" applyAlignment="1">
      <alignment horizontal="center" vertical="center"/>
    </xf>
    <xf numFmtId="170" fontId="14" fillId="0" borderId="27" xfId="0" applyNumberFormat="1" applyFont="1" applyBorder="1" applyAlignment="1">
      <alignment horizontal="center"/>
    </xf>
    <xf numFmtId="170" fontId="20" fillId="0" borderId="30" xfId="1" applyNumberFormat="1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1" xfId="0" applyFont="1" applyBorder="1"/>
    <xf numFmtId="2" fontId="13" fillId="0" borderId="29" xfId="0" applyNumberFormat="1" applyFont="1" applyBorder="1"/>
    <xf numFmtId="2" fontId="14" fillId="0" borderId="29" xfId="0" applyNumberFormat="1" applyFont="1" applyBorder="1"/>
    <xf numFmtId="169" fontId="14" fillId="0" borderId="29" xfId="0" applyNumberFormat="1" applyFont="1" applyBorder="1"/>
    <xf numFmtId="1" fontId="14" fillId="0" borderId="33" xfId="0" applyNumberFormat="1" applyFont="1" applyBorder="1"/>
    <xf numFmtId="2" fontId="14" fillId="13" borderId="33" xfId="0" applyNumberFormat="1" applyFont="1" applyFill="1" applyBorder="1"/>
    <xf numFmtId="0" fontId="21" fillId="0" borderId="29" xfId="0" applyFont="1" applyBorder="1"/>
    <xf numFmtId="170" fontId="16" fillId="0" borderId="29" xfId="1" applyNumberFormat="1" applyFont="1" applyBorder="1" applyAlignment="1">
      <alignment horizontal="center"/>
    </xf>
    <xf numFmtId="2" fontId="16" fillId="0" borderId="29" xfId="1" applyNumberFormat="1" applyFont="1" applyBorder="1" applyAlignment="1">
      <alignment horizontal="center"/>
    </xf>
    <xf numFmtId="2" fontId="16" fillId="0" borderId="30" xfId="1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Border="1"/>
    <xf numFmtId="2" fontId="13" fillId="0" borderId="24" xfId="0" applyNumberFormat="1" applyFont="1" applyBorder="1"/>
    <xf numFmtId="2" fontId="14" fillId="0" borderId="24" xfId="0" applyNumberFormat="1" applyFont="1" applyBorder="1"/>
    <xf numFmtId="170" fontId="20" fillId="0" borderId="24" xfId="1" applyNumberFormat="1" applyFont="1" applyBorder="1" applyAlignment="1">
      <alignment horizontal="center"/>
    </xf>
    <xf numFmtId="2" fontId="16" fillId="0" borderId="24" xfId="1" applyNumberFormat="1" applyFont="1" applyBorder="1" applyAlignment="1">
      <alignment horizontal="center"/>
    </xf>
    <xf numFmtId="0" fontId="19" fillId="10" borderId="29" xfId="0" applyFont="1" applyFill="1" applyBorder="1"/>
    <xf numFmtId="170" fontId="20" fillId="10" borderId="29" xfId="1" applyNumberFormat="1" applyFont="1" applyFill="1" applyBorder="1" applyAlignment="1">
      <alignment horizontal="center"/>
    </xf>
    <xf numFmtId="170" fontId="20" fillId="10" borderId="29" xfId="0" applyNumberFormat="1" applyFont="1" applyFill="1" applyBorder="1" applyAlignment="1">
      <alignment horizontal="center"/>
    </xf>
    <xf numFmtId="170" fontId="20" fillId="10" borderId="30" xfId="0" applyNumberFormat="1" applyFont="1" applyFill="1" applyBorder="1" applyAlignment="1">
      <alignment horizontal="center"/>
    </xf>
    <xf numFmtId="170" fontId="20" fillId="10" borderId="24" xfId="0" applyNumberFormat="1" applyFont="1" applyFill="1" applyBorder="1" applyAlignment="1">
      <alignment horizontal="center"/>
    </xf>
    <xf numFmtId="2" fontId="20" fillId="10" borderId="29" xfId="1" applyNumberFormat="1" applyFont="1" applyFill="1" applyBorder="1" applyAlignment="1">
      <alignment horizontal="center"/>
    </xf>
    <xf numFmtId="2" fontId="20" fillId="10" borderId="30" xfId="1" applyNumberFormat="1" applyFont="1" applyFill="1" applyBorder="1" applyAlignment="1">
      <alignment horizontal="center"/>
    </xf>
    <xf numFmtId="0" fontId="21" fillId="0" borderId="24" xfId="0" applyFont="1" applyBorder="1" applyAlignment="1">
      <alignment horizontal="center"/>
    </xf>
    <xf numFmtId="170" fontId="21" fillId="0" borderId="24" xfId="0" applyNumberFormat="1" applyFont="1" applyBorder="1" applyAlignment="1">
      <alignment horizontal="center"/>
    </xf>
    <xf numFmtId="2" fontId="21" fillId="10" borderId="24" xfId="0" applyNumberFormat="1" applyFont="1" applyFill="1" applyBorder="1" applyAlignment="1">
      <alignment horizontal="center"/>
    </xf>
    <xf numFmtId="170" fontId="16" fillId="0" borderId="24" xfId="0" applyNumberFormat="1" applyFont="1" applyBorder="1" applyAlignment="1">
      <alignment horizontal="center"/>
    </xf>
    <xf numFmtId="0" fontId="15" fillId="2" borderId="1" xfId="0" applyFont="1" applyFill="1" applyBorder="1" applyProtection="1">
      <protection locked="0"/>
    </xf>
    <xf numFmtId="0" fontId="23" fillId="2" borderId="2" xfId="0" applyFont="1" applyFill="1" applyBorder="1" applyProtection="1">
      <protection locked="0"/>
    </xf>
    <xf numFmtId="0" fontId="16" fillId="2" borderId="2" xfId="0" applyFont="1" applyFill="1" applyBorder="1" applyProtection="1">
      <protection locked="0"/>
    </xf>
    <xf numFmtId="0" fontId="16" fillId="3" borderId="0" xfId="0" applyFont="1" applyFill="1" applyProtection="1">
      <protection locked="0"/>
    </xf>
    <xf numFmtId="0" fontId="15" fillId="4" borderId="1" xfId="0" applyFont="1" applyFill="1" applyBorder="1" applyProtection="1">
      <protection locked="0"/>
    </xf>
    <xf numFmtId="0" fontId="23" fillId="4" borderId="3" xfId="0" applyFont="1" applyFill="1" applyBorder="1" applyProtection="1">
      <protection locked="0"/>
    </xf>
    <xf numFmtId="0" fontId="15" fillId="5" borderId="4" xfId="0" applyFont="1" applyFill="1" applyBorder="1" applyProtection="1">
      <protection locked="0"/>
    </xf>
    <xf numFmtId="0" fontId="23" fillId="5" borderId="5" xfId="0" applyFont="1" applyFill="1" applyBorder="1" applyProtection="1">
      <protection locked="0"/>
    </xf>
    <xf numFmtId="0" fontId="23" fillId="5" borderId="6" xfId="0" applyFont="1" applyFill="1" applyBorder="1" applyProtection="1">
      <protection locked="0"/>
    </xf>
    <xf numFmtId="0" fontId="23" fillId="5" borderId="2" xfId="0" applyFont="1" applyFill="1" applyBorder="1" applyProtection="1">
      <protection locked="0"/>
    </xf>
    <xf numFmtId="0" fontId="23" fillId="5" borderId="3" xfId="0" applyFont="1" applyFill="1" applyBorder="1" applyProtection="1">
      <protection locked="0"/>
    </xf>
    <xf numFmtId="0" fontId="15" fillId="5" borderId="1" xfId="0" applyFont="1" applyFill="1" applyBorder="1" applyProtection="1">
      <protection locked="0"/>
    </xf>
    <xf numFmtId="0" fontId="16" fillId="3" borderId="7" xfId="0" applyFont="1" applyFill="1" applyBorder="1" applyProtection="1">
      <protection locked="0"/>
    </xf>
    <xf numFmtId="0" fontId="16" fillId="6" borderId="8" xfId="0" applyFont="1" applyFill="1" applyBorder="1" applyProtection="1">
      <protection locked="0"/>
    </xf>
    <xf numFmtId="0" fontId="24" fillId="7" borderId="1" xfId="0" applyFont="1" applyFill="1" applyBorder="1" applyProtection="1">
      <protection locked="0"/>
    </xf>
    <xf numFmtId="0" fontId="25" fillId="7" borderId="3" xfId="0" applyFont="1" applyFill="1" applyBorder="1" applyProtection="1">
      <protection locked="0"/>
    </xf>
    <xf numFmtId="0" fontId="16" fillId="7" borderId="2" xfId="0" applyFont="1" applyFill="1" applyBorder="1" applyProtection="1">
      <protection locked="0"/>
    </xf>
    <xf numFmtId="0" fontId="16" fillId="7" borderId="3" xfId="0" applyFont="1" applyFill="1" applyBorder="1" applyProtection="1">
      <protection locked="0"/>
    </xf>
    <xf numFmtId="0" fontId="16" fillId="9" borderId="8" xfId="0" applyFont="1" applyFill="1" applyBorder="1" applyProtection="1">
      <protection locked="0"/>
    </xf>
    <xf numFmtId="0" fontId="16" fillId="3" borderId="9" xfId="0" applyFont="1" applyFill="1" applyBorder="1" applyProtection="1">
      <protection locked="0"/>
    </xf>
    <xf numFmtId="0" fontId="25" fillId="3" borderId="0" xfId="0" applyFont="1" applyFill="1" applyProtection="1">
      <protection locked="0"/>
    </xf>
    <xf numFmtId="0" fontId="16" fillId="8" borderId="8" xfId="0" applyFont="1" applyFill="1" applyBorder="1" applyProtection="1">
      <protection locked="0"/>
    </xf>
    <xf numFmtId="164" fontId="16" fillId="9" borderId="8" xfId="0" applyNumberFormat="1" applyFont="1" applyFill="1" applyBorder="1" applyAlignment="1">
      <alignment horizontal="center"/>
    </xf>
    <xf numFmtId="0" fontId="16" fillId="10" borderId="8" xfId="0" applyFont="1" applyFill="1" applyBorder="1" applyProtection="1">
      <protection locked="0"/>
    </xf>
    <xf numFmtId="0" fontId="16" fillId="3" borderId="11" xfId="0" applyFont="1" applyFill="1" applyBorder="1" applyProtection="1"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0" fontId="16" fillId="3" borderId="4" xfId="0" applyFont="1" applyFill="1" applyBorder="1" applyProtection="1">
      <protection locked="0"/>
    </xf>
    <xf numFmtId="0" fontId="16" fillId="11" borderId="8" xfId="0" applyFont="1" applyFill="1" applyBorder="1" applyProtection="1">
      <protection locked="0"/>
    </xf>
    <xf numFmtId="0" fontId="21" fillId="7" borderId="8" xfId="0" applyFont="1" applyFill="1" applyBorder="1" applyProtection="1">
      <protection locked="0"/>
    </xf>
    <xf numFmtId="2" fontId="16" fillId="9" borderId="15" xfId="0" applyNumberFormat="1" applyFont="1" applyFill="1" applyBorder="1" applyAlignment="1">
      <alignment horizontal="center"/>
    </xf>
    <xf numFmtId="2" fontId="16" fillId="9" borderId="18" xfId="0" applyNumberFormat="1" applyFont="1" applyFill="1" applyBorder="1" applyAlignment="1">
      <alignment horizontal="center"/>
    </xf>
    <xf numFmtId="2" fontId="16" fillId="9" borderId="7" xfId="0" applyNumberFormat="1" applyFont="1" applyFill="1" applyBorder="1" applyAlignment="1">
      <alignment horizontal="center"/>
    </xf>
    <xf numFmtId="2" fontId="16" fillId="9" borderId="19" xfId="0" applyNumberFormat="1" applyFont="1" applyFill="1" applyBorder="1" applyAlignment="1">
      <alignment horizontal="center"/>
    </xf>
    <xf numFmtId="0" fontId="16" fillId="8" borderId="18" xfId="0" applyFont="1" applyFill="1" applyBorder="1" applyProtection="1">
      <protection locked="0"/>
    </xf>
    <xf numFmtId="2" fontId="16" fillId="9" borderId="4" xfId="0" applyNumberFormat="1" applyFont="1" applyFill="1" applyBorder="1" applyAlignment="1">
      <alignment horizontal="center"/>
    </xf>
    <xf numFmtId="2" fontId="16" fillId="9" borderId="14" xfId="0" applyNumberFormat="1" applyFont="1" applyFill="1" applyBorder="1" applyAlignment="1">
      <alignment horizontal="center"/>
    </xf>
    <xf numFmtId="5" fontId="16" fillId="8" borderId="8" xfId="0" applyNumberFormat="1" applyFont="1" applyFill="1" applyBorder="1" applyProtection="1">
      <protection locked="0"/>
    </xf>
    <xf numFmtId="2" fontId="16" fillId="3" borderId="8" xfId="0" applyNumberFormat="1" applyFont="1" applyFill="1" applyBorder="1" applyAlignment="1">
      <alignment horizontal="center"/>
    </xf>
    <xf numFmtId="0" fontId="26" fillId="8" borderId="1" xfId="0" applyFont="1" applyFill="1" applyBorder="1" applyProtection="1">
      <protection locked="0"/>
    </xf>
    <xf numFmtId="0" fontId="16" fillId="3" borderId="10" xfId="0" applyFont="1" applyFill="1" applyBorder="1" applyProtection="1">
      <protection locked="0"/>
    </xf>
    <xf numFmtId="0" fontId="16" fillId="3" borderId="12" xfId="0" applyFont="1" applyFill="1" applyBorder="1" applyProtection="1">
      <protection locked="0"/>
    </xf>
    <xf numFmtId="5" fontId="16" fillId="3" borderId="8" xfId="0" applyNumberFormat="1" applyFont="1" applyFill="1" applyBorder="1" applyAlignment="1">
      <alignment horizontal="center"/>
    </xf>
    <xf numFmtId="0" fontId="16" fillId="3" borderId="14" xfId="0" applyFont="1" applyFill="1" applyBorder="1" applyProtection="1">
      <protection locked="0"/>
    </xf>
    <xf numFmtId="0" fontId="16" fillId="3" borderId="16" xfId="0" applyFont="1" applyFill="1" applyBorder="1" applyProtection="1">
      <protection locked="0"/>
    </xf>
    <xf numFmtId="0" fontId="28" fillId="3" borderId="0" xfId="0" applyFont="1" applyFill="1" applyProtection="1">
      <protection locked="0"/>
    </xf>
    <xf numFmtId="0" fontId="16" fillId="3" borderId="23" xfId="0" applyFont="1" applyFill="1" applyBorder="1" applyProtection="1">
      <protection locked="0"/>
    </xf>
    <xf numFmtId="168" fontId="16" fillId="3" borderId="0" xfId="0" applyNumberFormat="1" applyFont="1" applyFill="1" applyProtection="1">
      <protection locked="0"/>
    </xf>
    <xf numFmtId="44" fontId="28" fillId="3" borderId="0" xfId="0" applyNumberFormat="1" applyFont="1" applyFill="1" applyAlignment="1" applyProtection="1">
      <alignment horizontal="left"/>
      <protection locked="0"/>
    </xf>
    <xf numFmtId="0" fontId="16" fillId="3" borderId="6" xfId="0" applyFont="1" applyFill="1" applyBorder="1" applyProtection="1">
      <protection locked="0"/>
    </xf>
    <xf numFmtId="0" fontId="29" fillId="0" borderId="0" xfId="0" applyFont="1"/>
    <xf numFmtId="2" fontId="16" fillId="10" borderId="10" xfId="0" applyNumberFormat="1" applyFont="1" applyFill="1" applyBorder="1" applyAlignment="1">
      <alignment horizontal="center"/>
    </xf>
    <xf numFmtId="2" fontId="16" fillId="9" borderId="12" xfId="0" applyNumberFormat="1" applyFont="1" applyFill="1" applyBorder="1" applyAlignment="1">
      <alignment horizontal="center"/>
    </xf>
    <xf numFmtId="2" fontId="16" fillId="10" borderId="14" xfId="0" applyNumberFormat="1" applyFont="1" applyFill="1" applyBorder="1" applyAlignment="1">
      <alignment horizontal="center"/>
    </xf>
    <xf numFmtId="166" fontId="16" fillId="10" borderId="10" xfId="0" applyNumberFormat="1" applyFont="1" applyFill="1" applyBorder="1" applyAlignment="1">
      <alignment horizontal="center"/>
    </xf>
    <xf numFmtId="166" fontId="16" fillId="9" borderId="12" xfId="0" applyNumberFormat="1" applyFont="1" applyFill="1" applyBorder="1" applyAlignment="1">
      <alignment horizontal="center"/>
    </xf>
    <xf numFmtId="166" fontId="16" fillId="10" borderId="19" xfId="0" applyNumberFormat="1" applyFont="1" applyFill="1" applyBorder="1" applyAlignment="1">
      <alignment horizontal="center"/>
    </xf>
    <xf numFmtId="2" fontId="16" fillId="9" borderId="10" xfId="0" applyNumberFormat="1" applyFont="1" applyFill="1" applyBorder="1" applyAlignment="1">
      <alignment horizontal="center"/>
    </xf>
    <xf numFmtId="5" fontId="16" fillId="3" borderId="12" xfId="1" applyNumberFormat="1" applyFont="1" applyFill="1" applyBorder="1" applyAlignment="1" applyProtection="1">
      <alignment horizontal="center"/>
    </xf>
    <xf numFmtId="2" fontId="16" fillId="10" borderId="12" xfId="0" applyNumberFormat="1" applyFont="1" applyFill="1" applyBorder="1" applyAlignment="1">
      <alignment horizontal="center"/>
    </xf>
    <xf numFmtId="5" fontId="16" fillId="10" borderId="12" xfId="1" applyNumberFormat="1" applyFont="1" applyFill="1" applyBorder="1" applyAlignment="1" applyProtection="1">
      <alignment horizontal="center"/>
    </xf>
    <xf numFmtId="167" fontId="16" fillId="0" borderId="12" xfId="1" applyNumberFormat="1" applyFont="1" applyBorder="1" applyAlignment="1" applyProtection="1">
      <alignment horizontal="center"/>
    </xf>
    <xf numFmtId="0" fontId="16" fillId="0" borderId="12" xfId="0" applyFont="1" applyBorder="1" applyAlignment="1">
      <alignment horizontal="center"/>
    </xf>
    <xf numFmtId="164" fontId="16" fillId="10" borderId="14" xfId="0" applyNumberFormat="1" applyFont="1" applyFill="1" applyBorder="1" applyAlignment="1">
      <alignment horizontal="center"/>
    </xf>
    <xf numFmtId="164" fontId="16" fillId="3" borderId="14" xfId="0" applyNumberFormat="1" applyFont="1" applyFill="1" applyBorder="1" applyAlignment="1">
      <alignment horizontal="center"/>
    </xf>
    <xf numFmtId="164" fontId="16" fillId="9" borderId="10" xfId="0" applyNumberFormat="1" applyFont="1" applyFill="1" applyBorder="1" applyAlignment="1">
      <alignment horizontal="center"/>
    </xf>
    <xf numFmtId="164" fontId="16" fillId="9" borderId="12" xfId="0" applyNumberFormat="1" applyFont="1" applyFill="1" applyBorder="1" applyAlignment="1">
      <alignment horizontal="center"/>
    </xf>
    <xf numFmtId="172" fontId="23" fillId="6" borderId="10" xfId="0" applyNumberFormat="1" applyFont="1" applyFill="1" applyBorder="1"/>
    <xf numFmtId="172" fontId="23" fillId="6" borderId="12" xfId="0" applyNumberFormat="1" applyFont="1" applyFill="1" applyBorder="1"/>
    <xf numFmtId="172" fontId="23" fillId="6" borderId="12" xfId="2" applyNumberFormat="1" applyFont="1" applyFill="1" applyBorder="1" applyAlignment="1" applyProtection="1"/>
    <xf numFmtId="165" fontId="23" fillId="6" borderId="12" xfId="2" applyNumberFormat="1" applyFont="1" applyFill="1" applyBorder="1" applyAlignment="1" applyProtection="1"/>
    <xf numFmtId="164" fontId="23" fillId="6" borderId="12" xfId="0" applyNumberFormat="1" applyFont="1" applyFill="1" applyBorder="1"/>
    <xf numFmtId="2" fontId="23" fillId="6" borderId="12" xfId="0" applyNumberFormat="1" applyFont="1" applyFill="1" applyBorder="1"/>
    <xf numFmtId="2" fontId="23" fillId="6" borderId="14" xfId="0" applyNumberFormat="1" applyFont="1" applyFill="1" applyBorder="1"/>
    <xf numFmtId="0" fontId="27" fillId="8" borderId="3" xfId="0" applyFont="1" applyFill="1" applyBorder="1" applyProtection="1">
      <protection locked="0"/>
    </xf>
    <xf numFmtId="43" fontId="23" fillId="6" borderId="10" xfId="1" applyFont="1" applyFill="1" applyBorder="1" applyAlignment="1" applyProtection="1"/>
    <xf numFmtId="43" fontId="23" fillId="6" borderId="12" xfId="1" applyFont="1" applyFill="1" applyBorder="1" applyAlignment="1" applyProtection="1"/>
    <xf numFmtId="0" fontId="23" fillId="8" borderId="3" xfId="0" applyFont="1" applyFill="1" applyBorder="1" applyProtection="1">
      <protection locked="0"/>
    </xf>
    <xf numFmtId="43" fontId="16" fillId="10" borderId="12" xfId="1" applyFont="1" applyFill="1" applyBorder="1" applyAlignment="1" applyProtection="1"/>
    <xf numFmtId="43" fontId="16" fillId="10" borderId="20" xfId="1" applyFont="1" applyFill="1" applyBorder="1" applyAlignment="1" applyProtection="1"/>
    <xf numFmtId="0" fontId="21" fillId="8" borderId="1" xfId="0" applyFont="1" applyFill="1" applyBorder="1" applyProtection="1">
      <protection locked="0"/>
    </xf>
    <xf numFmtId="0" fontId="21" fillId="8" borderId="8" xfId="0" applyFont="1" applyFill="1" applyBorder="1" applyAlignment="1" applyProtection="1">
      <alignment horizontal="center"/>
      <protection locked="0"/>
    </xf>
    <xf numFmtId="0" fontId="21" fillId="8" borderId="8" xfId="0" applyFont="1" applyFill="1" applyBorder="1" applyProtection="1">
      <protection locked="0"/>
    </xf>
    <xf numFmtId="2" fontId="5" fillId="12" borderId="1" xfId="0" applyNumberFormat="1" applyFont="1" applyFill="1" applyBorder="1" applyAlignment="1" applyProtection="1">
      <alignment horizontal="center" vertical="center"/>
      <protection locked="0"/>
    </xf>
    <xf numFmtId="2" fontId="5" fillId="12" borderId="3" xfId="0" applyNumberFormat="1" applyFont="1" applyFill="1" applyBorder="1" applyAlignment="1" applyProtection="1">
      <alignment horizontal="center" vertical="center"/>
      <protection locked="0"/>
    </xf>
    <xf numFmtId="2" fontId="5" fillId="12" borderId="2" xfId="0" applyNumberFormat="1" applyFont="1" applyFill="1" applyBorder="1" applyAlignment="1" applyProtection="1">
      <alignment horizontal="center" vertical="center"/>
      <protection locked="0"/>
    </xf>
    <xf numFmtId="2" fontId="0" fillId="14" borderId="1" xfId="0" applyNumberFormat="1" applyFill="1" applyBorder="1" applyAlignment="1" applyProtection="1">
      <alignment horizontal="center"/>
      <protection locked="0"/>
    </xf>
    <xf numFmtId="2" fontId="0" fillId="14" borderId="3" xfId="0" applyNumberFormat="1" applyFill="1" applyBorder="1" applyAlignment="1" applyProtection="1">
      <alignment horizontal="center"/>
      <protection locked="0"/>
    </xf>
    <xf numFmtId="2" fontId="0" fillId="14" borderId="2" xfId="0" applyNumberFormat="1" applyFill="1" applyBorder="1" applyAlignment="1" applyProtection="1">
      <alignment horizontal="center"/>
      <protection locked="0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22" fillId="11" borderId="27" xfId="0" applyFont="1" applyFill="1" applyBorder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</cellXfs>
  <cellStyles count="6">
    <cellStyle name="Comma" xfId="1" builtinId="3"/>
    <cellStyle name="Currency" xfId="3" builtinId="4"/>
    <cellStyle name="Hyperlink" xfId="5" builtinId="8"/>
    <cellStyle name="Normal" xfId="0" builtinId="0"/>
    <cellStyle name="Normal 4" xfId="4" xr:uid="{A9C0BE0D-5867-4233-AC20-833C5D2EE0DC}"/>
    <cellStyle name="Percent" xfId="2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Unplanned customer minutes lost (CML)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46217144199063E-2"/>
          <c:y val="0.15470281543274245"/>
          <c:w val="0.68090734287917387"/>
          <c:h val="0.74853694383092628"/>
        </c:manualLayout>
      </c:layout>
      <c:lineChart>
        <c:grouping val="standard"/>
        <c:varyColors val="0"/>
        <c:ser>
          <c:idx val="0"/>
          <c:order val="0"/>
          <c:tx>
            <c:strRef>
              <c:f>Calculations!$O$7</c:f>
              <c:strCache>
                <c:ptCount val="1"/>
                <c:pt idx="0">
                  <c:v>Unplanned CML cap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Calculations!$P$7:$U$7</c:f>
              <c:numCache>
                <c:formatCode>0.00</c:formatCode>
                <c:ptCount val="6"/>
                <c:pt idx="0">
                  <c:v>47.934884250788393</c:v>
                </c:pt>
                <c:pt idx="1">
                  <c:v>46.681574250788394</c:v>
                </c:pt>
                <c:pt idx="2">
                  <c:v>45.474130450788394</c:v>
                </c:pt>
                <c:pt idx="3">
                  <c:v>44.262235526788388</c:v>
                </c:pt>
                <c:pt idx="4">
                  <c:v>43.075578501268389</c:v>
                </c:pt>
                <c:pt idx="5">
                  <c:v>41.883854616258787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F-4D98-8D49-ED3852C1C820}"/>
            </c:ext>
          </c:extLst>
        </c:ser>
        <c:ser>
          <c:idx val="1"/>
          <c:order val="1"/>
          <c:tx>
            <c:strRef>
              <c:f>Calculations!$O$8</c:f>
              <c:strCache>
                <c:ptCount val="1"/>
                <c:pt idx="0">
                  <c:v>Unplanned CML 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Calculations!$P$8:$U$8</c:f>
              <c:numCache>
                <c:formatCode>0.00</c:formatCode>
                <c:ptCount val="6"/>
                <c:pt idx="0">
                  <c:v>39.665500000000002</c:v>
                </c:pt>
                <c:pt idx="1">
                  <c:v>38.412190000000002</c:v>
                </c:pt>
                <c:pt idx="2">
                  <c:v>37.204746200000002</c:v>
                </c:pt>
                <c:pt idx="3">
                  <c:v>35.992851275999996</c:v>
                </c:pt>
                <c:pt idx="4">
                  <c:v>34.806194250479997</c:v>
                </c:pt>
                <c:pt idx="5">
                  <c:v>33.614470365470396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F-4D98-8D49-ED3852C1C820}"/>
            </c:ext>
          </c:extLst>
        </c:ser>
        <c:ser>
          <c:idx val="2"/>
          <c:order val="2"/>
          <c:tx>
            <c:strRef>
              <c:f>Calculations!$O$9</c:f>
              <c:strCache>
                <c:ptCount val="1"/>
                <c:pt idx="0">
                  <c:v>Unplanned CML collar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Calculations!$P$9:$U$9</c:f>
              <c:numCache>
                <c:formatCode>0.00</c:formatCode>
                <c:ptCount val="6"/>
                <c:pt idx="0">
                  <c:v>31.39611574921161</c:v>
                </c:pt>
                <c:pt idx="1">
                  <c:v>30.142805749211611</c:v>
                </c:pt>
                <c:pt idx="2">
                  <c:v>28.935361949211611</c:v>
                </c:pt>
                <c:pt idx="3">
                  <c:v>27.723467025211605</c:v>
                </c:pt>
                <c:pt idx="4">
                  <c:v>26.536809999691606</c:v>
                </c:pt>
                <c:pt idx="5">
                  <c:v>25.345086114682005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F-4D98-8D49-ED3852C1C820}"/>
            </c:ext>
          </c:extLst>
        </c:ser>
        <c:ser>
          <c:idx val="3"/>
          <c:order val="3"/>
          <c:tx>
            <c:strRef>
              <c:f>Calculations!$O$10</c:f>
              <c:strCache>
                <c:ptCount val="1"/>
                <c:pt idx="0">
                  <c:v>Unplanned CML achieved by NIE Networks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Calculations!$P$10:$U$10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F-4D98-8D49-ED3852C1C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91488"/>
        <c:axId val="290407168"/>
      </c:lineChart>
      <c:catAx>
        <c:axId val="2889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407168"/>
        <c:crosses val="autoZero"/>
        <c:auto val="1"/>
        <c:lblAlgn val="ctr"/>
        <c:lblOffset val="100"/>
        <c:noMultiLvlLbl val="0"/>
      </c:catAx>
      <c:valAx>
        <c:axId val="290407168"/>
        <c:scaling>
          <c:orientation val="minMax"/>
          <c:max val="70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9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3221748130322"/>
          <c:y val="0.15849018326857611"/>
          <c:w val="0.25525093340943672"/>
          <c:h val="0.74454767389884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Planned customer minutes lost (CML)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Calculations!$O$14</c:f>
              <c:strCache>
                <c:ptCount val="1"/>
                <c:pt idx="0">
                  <c:v>Planned CML cap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Calculations!$P$14:$U$14</c:f>
              <c:numCache>
                <c:formatCode>0.00</c:formatCode>
                <c:ptCount val="6"/>
                <c:pt idx="0">
                  <c:v>51.002717584121719</c:v>
                </c:pt>
                <c:pt idx="1">
                  <c:v>38.702717584121729</c:v>
                </c:pt>
                <c:pt idx="2">
                  <c:v>26.136050917455059</c:v>
                </c:pt>
                <c:pt idx="3">
                  <c:v>13.26938425078839</c:v>
                </c:pt>
                <c:pt idx="4">
                  <c:v>13.26938425078839</c:v>
                </c:pt>
                <c:pt idx="5">
                  <c:v>13.26938425078839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A-4F18-9A96-6DCCED97714E}"/>
            </c:ext>
          </c:extLst>
        </c:ser>
        <c:ser>
          <c:idx val="1"/>
          <c:order val="1"/>
          <c:tx>
            <c:strRef>
              <c:f>Calculations!$O$15</c:f>
              <c:strCache>
                <c:ptCount val="1"/>
                <c:pt idx="0">
                  <c:v>Planned CML 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Calculations!$P$15:$U$15</c:f>
              <c:numCache>
                <c:formatCode>0.00</c:formatCode>
                <c:ptCount val="6"/>
                <c:pt idx="0">
                  <c:v>42.733333333333327</c:v>
                </c:pt>
                <c:pt idx="1">
                  <c:v>30.433333333333337</c:v>
                </c:pt>
                <c:pt idx="2">
                  <c:v>17.866666666666667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A-4F18-9A96-6DCCED97714E}"/>
            </c:ext>
          </c:extLst>
        </c:ser>
        <c:ser>
          <c:idx val="2"/>
          <c:order val="2"/>
          <c:tx>
            <c:strRef>
              <c:f>Calculations!$O$16</c:f>
              <c:strCache>
                <c:ptCount val="1"/>
                <c:pt idx="0">
                  <c:v>Planned CML collar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Calculations!$P$16:$U$16</c:f>
              <c:numCache>
                <c:formatCode>0.00</c:formatCode>
                <c:ptCount val="6"/>
                <c:pt idx="0">
                  <c:v>34.463949082544936</c:v>
                </c:pt>
                <c:pt idx="1">
                  <c:v>22.163949082544946</c:v>
                </c:pt>
                <c:pt idx="2">
                  <c:v>9.5972824158782775</c:v>
                </c:pt>
                <c:pt idx="3">
                  <c:v>-3.2693842507883897</c:v>
                </c:pt>
                <c:pt idx="4">
                  <c:v>-3.2693842507883897</c:v>
                </c:pt>
                <c:pt idx="5">
                  <c:v>-3.2693842507883897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EA-4F18-9A96-6DCCED97714E}"/>
            </c:ext>
          </c:extLst>
        </c:ser>
        <c:ser>
          <c:idx val="3"/>
          <c:order val="3"/>
          <c:tx>
            <c:strRef>
              <c:f>Calculations!$O$17</c:f>
              <c:strCache>
                <c:ptCount val="1"/>
                <c:pt idx="0">
                  <c:v>Planned CML achieved by NIE Networks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Cover!$B$22:$B$27</c:f>
              <c:strCache>
                <c:ptCount val="6"/>
                <c:pt idx="0">
                  <c:v>2025/26</c:v>
                </c:pt>
                <c:pt idx="1">
                  <c:v>2026/27</c:v>
                </c:pt>
                <c:pt idx="2">
                  <c:v>2027/28</c:v>
                </c:pt>
                <c:pt idx="3">
                  <c:v>2028/29</c:v>
                </c:pt>
                <c:pt idx="4">
                  <c:v>2029/30</c:v>
                </c:pt>
                <c:pt idx="5">
                  <c:v>2030/31</c:v>
                </c:pt>
              </c:strCache>
            </c:strRef>
          </c:cat>
          <c:val>
            <c:numRef>
              <c:f>Calculations!$P$17:$U$17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EA-4F18-9A96-6DCCED97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30912"/>
        <c:axId val="389903104"/>
      </c:lineChart>
      <c:catAx>
        <c:axId val="38983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903104"/>
        <c:crosses val="autoZero"/>
        <c:auto val="1"/>
        <c:lblAlgn val="ctr"/>
        <c:lblOffset val="100"/>
        <c:noMultiLvlLbl val="0"/>
      </c:catAx>
      <c:valAx>
        <c:axId val="389903104"/>
        <c:scaling>
          <c:orientation val="minMax"/>
          <c:max val="70"/>
          <c:min val="20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83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57798997429608"/>
          <c:y val="0.15849018326857611"/>
          <c:w val="0.31260517103013524"/>
          <c:h val="0.74454767389884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601434</xdr:colOff>
      <xdr:row>12</xdr:row>
      <xdr:rowOff>11565</xdr:rowOff>
    </xdr:from>
    <xdr:ext cx="306302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468209" y="2059440"/>
              <a:ext cx="30630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400" b="1" i="1">
                            <a:latin typeface="Cambria Math" panose="02040503050406030204" pitchFamily="18" charset="0"/>
                          </a:rPr>
                          <m:t>𝑹𝑰</m:t>
                        </m:r>
                      </m:e>
                      <m:sub>
                        <m:r>
                          <a:rPr lang="en-GB" sz="1400" b="1" i="1"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</m:oMath>
                </m:oMathPara>
              </a14:m>
              <a:endParaRPr lang="en-GB" sz="14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468209" y="2059440"/>
              <a:ext cx="306302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400" b="1" i="0">
                  <a:latin typeface="Cambria Math" panose="02040503050406030204" pitchFamily="18" charset="0"/>
                </a:rPr>
                <a:t>〖𝑹𝑰〗_𝒕</a:t>
              </a:r>
              <a:endParaRPr lang="en-GB" sz="1400" b="1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22223</xdr:colOff>
      <xdr:row>19</xdr:row>
      <xdr:rowOff>0</xdr:rowOff>
    </xdr:from>
    <xdr:to>
      <xdr:col>18</xdr:col>
      <xdr:colOff>342899</xdr:colOff>
      <xdr:row>34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35</xdr:row>
      <xdr:rowOff>133350</xdr:rowOff>
    </xdr:from>
    <xdr:to>
      <xdr:col>18</xdr:col>
      <xdr:colOff>116541</xdr:colOff>
      <xdr:row>51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ns.gov.uk/economy/nationalaccounts/balanceofpayments/timeseries/thap/mr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workbookViewId="0"/>
  </sheetViews>
  <sheetFormatPr defaultColWidth="8.5546875" defaultRowHeight="13.8" x14ac:dyDescent="0.25"/>
  <cols>
    <col min="1" max="1" width="4.44140625" style="2" customWidth="1"/>
    <col min="2" max="2" width="8.5546875" style="2"/>
    <col min="3" max="3" width="27.77734375" style="2" customWidth="1"/>
    <col min="4" max="9" width="10.5546875" style="2" customWidth="1"/>
    <col min="10" max="10" width="11.44140625" style="2" customWidth="1"/>
    <col min="11" max="11" width="10.44140625" style="2" customWidth="1"/>
    <col min="12" max="12" width="11" style="2" customWidth="1"/>
    <col min="13" max="16384" width="8.5546875" style="2"/>
  </cols>
  <sheetData>
    <row r="1" spans="2:12" ht="14.4" thickBot="1" x14ac:dyDescent="0.3"/>
    <row r="2" spans="2:12" ht="25.2" thickBot="1" x14ac:dyDescent="0.45">
      <c r="B2" s="3" t="s">
        <v>57</v>
      </c>
      <c r="C2" s="4"/>
      <c r="D2" s="4"/>
      <c r="E2" s="4"/>
      <c r="F2" s="4"/>
      <c r="G2" s="4"/>
      <c r="H2" s="4"/>
      <c r="I2" s="4"/>
      <c r="J2" s="4"/>
      <c r="K2" s="4"/>
      <c r="L2" s="5"/>
    </row>
    <row r="3" spans="2:12" ht="14.4" thickBot="1" x14ac:dyDescent="0.3">
      <c r="B3" s="6" t="s">
        <v>48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2:12" x14ac:dyDescent="0.25">
      <c r="B4" s="9"/>
      <c r="L4" s="10"/>
    </row>
    <row r="5" spans="2:12" ht="17.399999999999999" x14ac:dyDescent="0.3">
      <c r="B5" s="9"/>
      <c r="C5" s="11" t="s">
        <v>49</v>
      </c>
      <c r="F5" s="12"/>
      <c r="L5" s="10"/>
    </row>
    <row r="6" spans="2:12" x14ac:dyDescent="0.25">
      <c r="B6" s="9"/>
      <c r="C6" s="13" t="s">
        <v>65</v>
      </c>
      <c r="F6" s="12" t="s">
        <v>66</v>
      </c>
      <c r="L6" s="10"/>
    </row>
    <row r="7" spans="2:12" x14ac:dyDescent="0.25">
      <c r="B7" s="9"/>
      <c r="C7" s="13" t="s">
        <v>164</v>
      </c>
      <c r="F7" s="12" t="s">
        <v>165</v>
      </c>
      <c r="L7" s="10"/>
    </row>
    <row r="8" spans="2:12" x14ac:dyDescent="0.25">
      <c r="B8" s="9"/>
      <c r="C8" s="13" t="s">
        <v>166</v>
      </c>
      <c r="F8" s="12" t="s">
        <v>167</v>
      </c>
      <c r="L8" s="10"/>
    </row>
    <row r="9" spans="2:12" x14ac:dyDescent="0.25">
      <c r="B9" s="9"/>
      <c r="C9" s="13" t="s">
        <v>162</v>
      </c>
      <c r="F9" s="12" t="s">
        <v>163</v>
      </c>
      <c r="L9" s="10"/>
    </row>
    <row r="10" spans="2:12" ht="14.4" thickBot="1" x14ac:dyDescent="0.3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2:12" ht="14.4" thickBot="1" x14ac:dyDescent="0.3"/>
    <row r="12" spans="2:12" ht="25.2" thickBot="1" x14ac:dyDescent="0.45">
      <c r="B12" s="17" t="s">
        <v>64</v>
      </c>
      <c r="C12" s="18"/>
      <c r="D12" s="18"/>
      <c r="E12" s="18"/>
      <c r="F12" s="18"/>
      <c r="G12" s="18"/>
      <c r="H12" s="18"/>
      <c r="I12" s="19"/>
      <c r="J12" s="19"/>
      <c r="K12" s="19"/>
      <c r="L12" s="20"/>
    </row>
    <row r="13" spans="2:12" ht="17.399999999999999" x14ac:dyDescent="0.3">
      <c r="B13" s="21" t="s">
        <v>50</v>
      </c>
      <c r="C13" s="22"/>
      <c r="D13" s="23"/>
      <c r="E13" s="24"/>
      <c r="F13" s="24"/>
      <c r="G13" s="24"/>
      <c r="H13" s="24"/>
      <c r="I13" s="24"/>
      <c r="J13" s="24"/>
      <c r="K13" s="24"/>
      <c r="L13" s="25"/>
    </row>
    <row r="14" spans="2:12" ht="14.4" thickBot="1" x14ac:dyDescent="0.3">
      <c r="B14" s="9"/>
      <c r="L14" s="10"/>
    </row>
    <row r="15" spans="2:12" ht="14.4" thickBot="1" x14ac:dyDescent="0.3">
      <c r="B15" s="9"/>
      <c r="C15" s="26" t="s">
        <v>51</v>
      </c>
      <c r="D15" s="27" t="s">
        <v>58</v>
      </c>
      <c r="E15" s="27" t="s">
        <v>59</v>
      </c>
      <c r="F15" s="27" t="s">
        <v>60</v>
      </c>
      <c r="G15" s="27" t="s">
        <v>61</v>
      </c>
      <c r="H15" s="27" t="s">
        <v>62</v>
      </c>
      <c r="I15" s="28" t="s">
        <v>63</v>
      </c>
      <c r="J15" s="53"/>
      <c r="L15" s="10"/>
    </row>
    <row r="16" spans="2:12" ht="15" thickBot="1" x14ac:dyDescent="0.35">
      <c r="B16" s="29"/>
      <c r="C16" s="26" t="s">
        <v>52</v>
      </c>
      <c r="D16" s="30" t="e">
        <f>Calculations!H31/1000000</f>
        <v>#VALUE!</v>
      </c>
      <c r="E16" s="30" t="e">
        <f>Calculations!I31/1000000</f>
        <v>#VALUE!</v>
      </c>
      <c r="F16" s="30" t="e">
        <f>Calculations!J31/1000000</f>
        <v>#VALUE!</v>
      </c>
      <c r="G16" s="30" t="e">
        <f>Calculations!K31/1000000</f>
        <v>#VALUE!</v>
      </c>
      <c r="H16" s="30" t="e">
        <f>Calculations!L31/1000000</f>
        <v>#VALUE!</v>
      </c>
      <c r="I16" s="31" t="e">
        <f>Calculations!M31/1000000</f>
        <v>#VALUE!</v>
      </c>
      <c r="J16" s="54"/>
      <c r="L16" s="10"/>
    </row>
    <row r="17" spans="2:12" ht="14.4" thickBot="1" x14ac:dyDescent="0.3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6"/>
    </row>
    <row r="18" spans="2:12" ht="14.4" thickBot="1" x14ac:dyDescent="0.3"/>
    <row r="19" spans="2:12" ht="25.2" thickBot="1" x14ac:dyDescent="0.45">
      <c r="B19" s="17" t="s">
        <v>168</v>
      </c>
      <c r="C19" s="18"/>
      <c r="D19" s="19"/>
      <c r="E19" s="18"/>
      <c r="F19" s="18"/>
      <c r="G19" s="18"/>
      <c r="H19" s="18"/>
      <c r="I19" s="19"/>
      <c r="J19" s="19"/>
      <c r="K19" s="19"/>
      <c r="L19" s="20"/>
    </row>
    <row r="20" spans="2:12" ht="18.600000000000001" thickBot="1" x14ac:dyDescent="0.4">
      <c r="B20" s="32" t="s">
        <v>53</v>
      </c>
      <c r="C20" s="33" t="s">
        <v>24</v>
      </c>
      <c r="D20" s="8"/>
      <c r="E20" s="34" t="s">
        <v>37</v>
      </c>
      <c r="F20" s="35"/>
      <c r="G20" s="36"/>
      <c r="H20" s="37"/>
      <c r="K20" s="38" t="s">
        <v>1</v>
      </c>
      <c r="L20" s="39"/>
    </row>
    <row r="21" spans="2:12" ht="15" thickBot="1" x14ac:dyDescent="0.35">
      <c r="B21" s="40" t="s">
        <v>56</v>
      </c>
      <c r="C21" s="213"/>
      <c r="D21" s="214"/>
      <c r="E21" s="213"/>
      <c r="F21" s="215"/>
      <c r="G21" s="215"/>
      <c r="H21" s="214"/>
      <c r="K21" s="40" t="s">
        <v>234</v>
      </c>
      <c r="L21" s="52"/>
    </row>
    <row r="22" spans="2:12" ht="15" thickBot="1" x14ac:dyDescent="0.35">
      <c r="B22" s="40" t="s">
        <v>58</v>
      </c>
      <c r="C22" s="210"/>
      <c r="D22" s="211"/>
      <c r="E22" s="210"/>
      <c r="F22" s="212"/>
      <c r="G22" s="212"/>
      <c r="H22" s="211"/>
      <c r="K22" s="50"/>
      <c r="L22" s="51"/>
    </row>
    <row r="23" spans="2:12" ht="15" thickBot="1" x14ac:dyDescent="0.35">
      <c r="B23" s="40" t="s">
        <v>59</v>
      </c>
      <c r="C23" s="210"/>
      <c r="D23" s="211"/>
      <c r="E23" s="210"/>
      <c r="F23" s="212"/>
      <c r="G23" s="212"/>
      <c r="H23" s="211"/>
      <c r="L23" s="10"/>
    </row>
    <row r="24" spans="2:12" ht="15" thickBot="1" x14ac:dyDescent="0.35">
      <c r="B24" s="40" t="s">
        <v>60</v>
      </c>
      <c r="C24" s="210"/>
      <c r="D24" s="211"/>
      <c r="E24" s="210"/>
      <c r="F24" s="212"/>
      <c r="G24" s="212"/>
      <c r="H24" s="211"/>
      <c r="L24" s="10"/>
    </row>
    <row r="25" spans="2:12" ht="15" thickBot="1" x14ac:dyDescent="0.35">
      <c r="B25" s="40" t="s">
        <v>61</v>
      </c>
      <c r="C25" s="210"/>
      <c r="D25" s="211"/>
      <c r="E25" s="210"/>
      <c r="F25" s="212"/>
      <c r="G25" s="212"/>
      <c r="H25" s="211"/>
      <c r="I25" s="41" t="s">
        <v>54</v>
      </c>
      <c r="J25" s="42"/>
      <c r="K25" s="42"/>
      <c r="L25" s="43"/>
    </row>
    <row r="26" spans="2:12" ht="15" thickBot="1" x14ac:dyDescent="0.35">
      <c r="B26" s="1" t="s">
        <v>62</v>
      </c>
      <c r="C26" s="210"/>
      <c r="D26" s="211"/>
      <c r="E26" s="210"/>
      <c r="F26" s="212"/>
      <c r="G26" s="212"/>
      <c r="H26" s="211"/>
      <c r="I26" s="44" t="s">
        <v>55</v>
      </c>
      <c r="J26" s="45"/>
      <c r="K26" s="45"/>
      <c r="L26" s="46"/>
    </row>
    <row r="27" spans="2:12" ht="15" thickBot="1" x14ac:dyDescent="0.35">
      <c r="B27" s="40" t="s">
        <v>63</v>
      </c>
      <c r="C27" s="210"/>
      <c r="D27" s="211"/>
      <c r="E27" s="210"/>
      <c r="F27" s="212"/>
      <c r="G27" s="212"/>
      <c r="H27" s="211"/>
      <c r="I27" s="47" t="s">
        <v>169</v>
      </c>
      <c r="J27" s="48"/>
      <c r="K27" s="48"/>
      <c r="L27" s="49"/>
    </row>
  </sheetData>
  <mergeCells count="14">
    <mergeCell ref="C21:D21"/>
    <mergeCell ref="E21:H21"/>
    <mergeCell ref="C22:D22"/>
    <mergeCell ref="E22:H22"/>
    <mergeCell ref="C23:D23"/>
    <mergeCell ref="E23:H23"/>
    <mergeCell ref="C27:D27"/>
    <mergeCell ref="E27:H27"/>
    <mergeCell ref="C24:D24"/>
    <mergeCell ref="E24:H24"/>
    <mergeCell ref="C25:D25"/>
    <mergeCell ref="E25:H25"/>
    <mergeCell ref="C26:D26"/>
    <mergeCell ref="E26:H26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2"/>
  <sheetViews>
    <sheetView topLeftCell="G1" zoomScale="85" zoomScaleNormal="85" workbookViewId="0">
      <selection activeCell="D27" sqref="D27"/>
    </sheetView>
  </sheetViews>
  <sheetFormatPr defaultColWidth="8.5546875" defaultRowHeight="13.2" x14ac:dyDescent="0.25"/>
  <cols>
    <col min="1" max="1" width="28.5546875" style="130" customWidth="1"/>
    <col min="2" max="3" width="5.5546875" style="130" customWidth="1"/>
    <col min="4" max="4" width="91.44140625" style="130" bestFit="1" customWidth="1"/>
    <col min="5" max="5" width="14.5546875" style="130" bestFit="1" customWidth="1"/>
    <col min="6" max="6" width="12.21875" style="130" customWidth="1"/>
    <col min="7" max="7" width="105.21875" style="130" bestFit="1" customWidth="1"/>
    <col min="8" max="13" width="12.5546875" style="130" customWidth="1"/>
    <col min="14" max="14" width="8.44140625" style="130" bestFit="1" customWidth="1"/>
    <col min="15" max="15" width="66.44140625" style="130" bestFit="1" customWidth="1"/>
    <col min="16" max="21" width="13.77734375" style="130" customWidth="1"/>
    <col min="22" max="16384" width="8.5546875" style="130"/>
  </cols>
  <sheetData>
    <row r="1" spans="1:21" ht="13.8" thickBot="1" x14ac:dyDescent="0.3">
      <c r="A1" s="127" t="s">
        <v>0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3.8" thickBot="1" x14ac:dyDescent="0.3">
      <c r="A2" s="131" t="s">
        <v>1</v>
      </c>
      <c r="B2" s="132"/>
      <c r="D2" s="133" t="s">
        <v>2</v>
      </c>
      <c r="E2" s="134"/>
      <c r="G2" s="133" t="s">
        <v>3</v>
      </c>
      <c r="H2" s="135"/>
      <c r="I2" s="135"/>
      <c r="J2" s="135"/>
      <c r="K2" s="135"/>
      <c r="L2" s="136"/>
      <c r="M2" s="137"/>
      <c r="O2" s="138" t="s">
        <v>4</v>
      </c>
      <c r="P2" s="136"/>
      <c r="Q2" s="136"/>
      <c r="R2" s="136"/>
      <c r="S2" s="136"/>
      <c r="T2" s="136"/>
      <c r="U2" s="136"/>
    </row>
    <row r="3" spans="1:21" ht="13.8" thickBot="1" x14ac:dyDescent="0.3">
      <c r="A3" s="139" t="s">
        <v>5</v>
      </c>
      <c r="B3" s="140"/>
      <c r="D3" s="141" t="s">
        <v>6</v>
      </c>
      <c r="E3" s="142"/>
      <c r="G3" s="141" t="s">
        <v>7</v>
      </c>
      <c r="H3" s="143"/>
      <c r="I3" s="143"/>
      <c r="J3" s="143"/>
      <c r="K3" s="143"/>
      <c r="L3" s="143"/>
      <c r="M3" s="144"/>
      <c r="O3" s="139"/>
      <c r="P3" s="208" t="s">
        <v>58</v>
      </c>
      <c r="Q3" s="208" t="s">
        <v>59</v>
      </c>
      <c r="R3" s="208" t="s">
        <v>60</v>
      </c>
      <c r="S3" s="208" t="s">
        <v>61</v>
      </c>
      <c r="T3" s="208" t="s">
        <v>62</v>
      </c>
      <c r="U3" s="208" t="s">
        <v>63</v>
      </c>
    </row>
    <row r="4" spans="1:21" ht="13.8" thickBot="1" x14ac:dyDescent="0.3">
      <c r="A4" s="139" t="s">
        <v>8</v>
      </c>
      <c r="B4" s="145"/>
      <c r="D4" s="146" t="s">
        <v>9</v>
      </c>
      <c r="E4" s="194">
        <f>'Cap-Collar'!C12</f>
        <v>241855.97613381231</v>
      </c>
      <c r="F4" s="147"/>
      <c r="G4" s="207" t="s">
        <v>10</v>
      </c>
      <c r="H4" s="208" t="s">
        <v>58</v>
      </c>
      <c r="I4" s="208" t="s">
        <v>59</v>
      </c>
      <c r="J4" s="208" t="s">
        <v>60</v>
      </c>
      <c r="K4" s="208" t="s">
        <v>61</v>
      </c>
      <c r="L4" s="208" t="s">
        <v>62</v>
      </c>
      <c r="M4" s="208" t="s">
        <v>63</v>
      </c>
      <c r="O4" s="148" t="s">
        <v>11</v>
      </c>
      <c r="P4" s="149" t="str">
        <f>H$31</f>
        <v>N/A</v>
      </c>
      <c r="Q4" s="149" t="str">
        <f t="shared" ref="Q4:U4" si="0">I$31</f>
        <v>N/A</v>
      </c>
      <c r="R4" s="149" t="str">
        <f t="shared" si="0"/>
        <v>N/A</v>
      </c>
      <c r="S4" s="149" t="str">
        <f t="shared" si="0"/>
        <v>N/A</v>
      </c>
      <c r="T4" s="149" t="str">
        <f t="shared" si="0"/>
        <v>N/A</v>
      </c>
      <c r="U4" s="149" t="str">
        <f t="shared" si="0"/>
        <v>N/A</v>
      </c>
    </row>
    <row r="5" spans="1:21" ht="13.8" thickBot="1" x14ac:dyDescent="0.3">
      <c r="A5" s="139" t="s">
        <v>3</v>
      </c>
      <c r="B5" s="150"/>
      <c r="D5" s="151" t="s">
        <v>12</v>
      </c>
      <c r="E5" s="195">
        <f>'Cap-Collar'!C13</f>
        <v>60463.994033453077</v>
      </c>
      <c r="F5" s="147"/>
      <c r="G5" s="146" t="s">
        <v>13</v>
      </c>
      <c r="H5" s="178">
        <f t="shared" ref="H5:M5" si="1">H6+$E$11</f>
        <v>47.934884250788393</v>
      </c>
      <c r="I5" s="178">
        <f t="shared" si="1"/>
        <v>46.681574250788394</v>
      </c>
      <c r="J5" s="178">
        <f t="shared" si="1"/>
        <v>45.474130450788394</v>
      </c>
      <c r="K5" s="178">
        <f t="shared" si="1"/>
        <v>44.262235526788388</v>
      </c>
      <c r="L5" s="178">
        <f t="shared" si="1"/>
        <v>43.075578501268389</v>
      </c>
      <c r="M5" s="178">
        <f t="shared" si="1"/>
        <v>41.883854616258787</v>
      </c>
      <c r="O5" s="139"/>
      <c r="P5" s="152"/>
      <c r="Q5" s="152"/>
      <c r="R5" s="152"/>
      <c r="S5" s="152"/>
      <c r="T5" s="152"/>
      <c r="U5" s="153"/>
    </row>
    <row r="6" spans="1:21" ht="13.8" thickBot="1" x14ac:dyDescent="0.3">
      <c r="A6" s="154" t="s">
        <v>4</v>
      </c>
      <c r="B6" s="155"/>
      <c r="D6" s="151" t="s">
        <v>161</v>
      </c>
      <c r="E6" s="196">
        <f>'Cap-Collar'!C14</f>
        <v>2500000</v>
      </c>
      <c r="F6" s="147"/>
      <c r="G6" s="151" t="s">
        <v>14</v>
      </c>
      <c r="H6" s="179">
        <f>$E$14</f>
        <v>39.665500000000002</v>
      </c>
      <c r="I6" s="179">
        <f>$E$15</f>
        <v>38.412190000000002</v>
      </c>
      <c r="J6" s="179">
        <f>$E$16</f>
        <v>37.204746200000002</v>
      </c>
      <c r="K6" s="179">
        <f>$E$17</f>
        <v>35.992851275999996</v>
      </c>
      <c r="L6" s="179">
        <f>$E$18</f>
        <v>34.806194250479997</v>
      </c>
      <c r="M6" s="179">
        <f>$E$19</f>
        <v>33.614470365470396</v>
      </c>
      <c r="O6" s="156" t="s">
        <v>210</v>
      </c>
      <c r="P6" s="208" t="s">
        <v>58</v>
      </c>
      <c r="Q6" s="208" t="s">
        <v>59</v>
      </c>
      <c r="R6" s="208" t="s">
        <v>60</v>
      </c>
      <c r="S6" s="208" t="s">
        <v>61</v>
      </c>
      <c r="T6" s="208" t="s">
        <v>62</v>
      </c>
      <c r="U6" s="208" t="s">
        <v>63</v>
      </c>
    </row>
    <row r="7" spans="1:21" ht="13.8" thickBot="1" x14ac:dyDescent="0.3">
      <c r="D7" s="151" t="s">
        <v>15</v>
      </c>
      <c r="E7" s="197">
        <f>4/5</f>
        <v>0.8</v>
      </c>
      <c r="F7" s="147"/>
      <c r="G7" s="154" t="s">
        <v>16</v>
      </c>
      <c r="H7" s="180">
        <f t="shared" ref="H7:M7" si="2">H6-$E$11</f>
        <v>31.39611574921161</v>
      </c>
      <c r="I7" s="180">
        <f t="shared" si="2"/>
        <v>30.142805749211611</v>
      </c>
      <c r="J7" s="180">
        <f t="shared" si="2"/>
        <v>28.935361949211611</v>
      </c>
      <c r="K7" s="180">
        <f t="shared" si="2"/>
        <v>27.723467025211605</v>
      </c>
      <c r="L7" s="180">
        <f t="shared" si="2"/>
        <v>26.536809999691606</v>
      </c>
      <c r="M7" s="180">
        <f t="shared" si="2"/>
        <v>25.345086114682005</v>
      </c>
      <c r="O7" s="148" t="s">
        <v>17</v>
      </c>
      <c r="P7" s="157">
        <f>H5</f>
        <v>47.934884250788393</v>
      </c>
      <c r="Q7" s="157">
        <f t="shared" ref="Q7:U7" si="3">I5</f>
        <v>46.681574250788394</v>
      </c>
      <c r="R7" s="157">
        <f t="shared" si="3"/>
        <v>45.474130450788394</v>
      </c>
      <c r="S7" s="157">
        <f t="shared" si="3"/>
        <v>44.262235526788388</v>
      </c>
      <c r="T7" s="157">
        <f t="shared" si="3"/>
        <v>43.075578501268389</v>
      </c>
      <c r="U7" s="158">
        <f t="shared" si="3"/>
        <v>41.883854616258787</v>
      </c>
    </row>
    <row r="8" spans="1:21" ht="13.8" thickBot="1" x14ac:dyDescent="0.3">
      <c r="D8" s="151" t="s">
        <v>18</v>
      </c>
      <c r="E8" s="197">
        <f>1/5</f>
        <v>0.2</v>
      </c>
      <c r="F8" s="147"/>
      <c r="G8" s="207" t="s">
        <v>19</v>
      </c>
      <c r="H8" s="208" t="s">
        <v>58</v>
      </c>
      <c r="I8" s="208" t="s">
        <v>59</v>
      </c>
      <c r="J8" s="208" t="s">
        <v>60</v>
      </c>
      <c r="K8" s="208" t="s">
        <v>61</v>
      </c>
      <c r="L8" s="208" t="s">
        <v>62</v>
      </c>
      <c r="M8" s="208" t="s">
        <v>63</v>
      </c>
      <c r="O8" s="148" t="s">
        <v>20</v>
      </c>
      <c r="P8" s="159">
        <f>H6</f>
        <v>39.665500000000002</v>
      </c>
      <c r="Q8" s="159">
        <f t="shared" ref="Q8:U8" si="4">I6</f>
        <v>38.412190000000002</v>
      </c>
      <c r="R8" s="159">
        <f t="shared" si="4"/>
        <v>37.204746200000002</v>
      </c>
      <c r="S8" s="159">
        <f t="shared" si="4"/>
        <v>35.992851275999996</v>
      </c>
      <c r="T8" s="159">
        <f t="shared" si="4"/>
        <v>34.806194250479997</v>
      </c>
      <c r="U8" s="160">
        <f t="shared" si="4"/>
        <v>33.614470365470396</v>
      </c>
    </row>
    <row r="9" spans="1:21" ht="13.8" thickBot="1" x14ac:dyDescent="0.3">
      <c r="D9" s="151" t="s">
        <v>226</v>
      </c>
      <c r="E9" s="198">
        <f>E6*E7</f>
        <v>2000000</v>
      </c>
      <c r="F9" s="147"/>
      <c r="G9" s="146" t="s">
        <v>21</v>
      </c>
      <c r="H9" s="181">
        <f t="shared" ref="H9:M9" si="5">H10+$E$12</f>
        <v>51.002717584121719</v>
      </c>
      <c r="I9" s="181">
        <f t="shared" si="5"/>
        <v>38.702717584121729</v>
      </c>
      <c r="J9" s="181">
        <f t="shared" si="5"/>
        <v>26.136050917455059</v>
      </c>
      <c r="K9" s="181">
        <f t="shared" si="5"/>
        <v>13.26938425078839</v>
      </c>
      <c r="L9" s="181">
        <f t="shared" si="5"/>
        <v>13.26938425078839</v>
      </c>
      <c r="M9" s="181">
        <f t="shared" si="5"/>
        <v>13.26938425078839</v>
      </c>
      <c r="O9" s="161" t="s">
        <v>22</v>
      </c>
      <c r="P9" s="159">
        <f>H7</f>
        <v>31.39611574921161</v>
      </c>
      <c r="Q9" s="159">
        <f t="shared" ref="Q9:U9" si="6">I7</f>
        <v>30.142805749211611</v>
      </c>
      <c r="R9" s="159">
        <f t="shared" si="6"/>
        <v>28.935361949211611</v>
      </c>
      <c r="S9" s="159">
        <f t="shared" si="6"/>
        <v>27.723467025211605</v>
      </c>
      <c r="T9" s="159">
        <f t="shared" si="6"/>
        <v>26.536809999691606</v>
      </c>
      <c r="U9" s="160">
        <f t="shared" si="6"/>
        <v>25.345086114682005</v>
      </c>
    </row>
    <row r="10" spans="1:21" ht="13.8" thickBot="1" x14ac:dyDescent="0.3">
      <c r="D10" s="151" t="s">
        <v>227</v>
      </c>
      <c r="E10" s="198">
        <f>E6*E8</f>
        <v>500000</v>
      </c>
      <c r="F10" s="147"/>
      <c r="G10" s="151" t="s">
        <v>23</v>
      </c>
      <c r="H10" s="182">
        <f>$E$21</f>
        <v>42.733333333333327</v>
      </c>
      <c r="I10" s="182">
        <f>$E$22</f>
        <v>30.433333333333337</v>
      </c>
      <c r="J10" s="182">
        <f>$E$23</f>
        <v>17.866666666666667</v>
      </c>
      <c r="K10" s="182">
        <f>$E$24</f>
        <v>5</v>
      </c>
      <c r="L10" s="182">
        <f>$E$25</f>
        <v>5</v>
      </c>
      <c r="M10" s="182">
        <f>$E$26</f>
        <v>5</v>
      </c>
      <c r="O10" s="148" t="s">
        <v>24</v>
      </c>
      <c r="P10" s="162">
        <f>H13</f>
        <v>0</v>
      </c>
      <c r="Q10" s="162">
        <f t="shared" ref="Q10:U10" si="7">I13</f>
        <v>0</v>
      </c>
      <c r="R10" s="162">
        <f t="shared" si="7"/>
        <v>0</v>
      </c>
      <c r="S10" s="162">
        <f t="shared" si="7"/>
        <v>0</v>
      </c>
      <c r="T10" s="162">
        <f t="shared" si="7"/>
        <v>0</v>
      </c>
      <c r="U10" s="163">
        <f t="shared" si="7"/>
        <v>0</v>
      </c>
    </row>
    <row r="11" spans="1:21" ht="13.8" thickBot="1" x14ac:dyDescent="0.3">
      <c r="D11" s="151" t="s">
        <v>27</v>
      </c>
      <c r="E11" s="199">
        <f>'Cap-Collar'!C18</f>
        <v>8.2693842507883897</v>
      </c>
      <c r="F11" s="147"/>
      <c r="G11" s="139" t="s">
        <v>25</v>
      </c>
      <c r="H11" s="183">
        <f t="shared" ref="H11:M11" si="8">H10-$E$12</f>
        <v>34.463949082544936</v>
      </c>
      <c r="I11" s="183">
        <f t="shared" si="8"/>
        <v>22.163949082544946</v>
      </c>
      <c r="J11" s="183">
        <f t="shared" si="8"/>
        <v>9.5972824158782775</v>
      </c>
      <c r="K11" s="183">
        <f t="shared" si="8"/>
        <v>-3.2693842507883897</v>
      </c>
      <c r="L11" s="183">
        <f t="shared" si="8"/>
        <v>-3.2693842507883897</v>
      </c>
      <c r="M11" s="183">
        <f t="shared" si="8"/>
        <v>-3.2693842507883897</v>
      </c>
      <c r="O11" s="164" t="str">
        <f>G14</f>
        <v>Did NIE Network beat their unplanned CML target?</v>
      </c>
      <c r="P11" s="165" t="str">
        <f>H14</f>
        <v>N/A</v>
      </c>
      <c r="Q11" s="165" t="str">
        <f t="shared" ref="Q11:U11" si="9">I14</f>
        <v>N/A</v>
      </c>
      <c r="R11" s="165" t="str">
        <f t="shared" si="9"/>
        <v>N/A</v>
      </c>
      <c r="S11" s="165" t="str">
        <f t="shared" si="9"/>
        <v>N/A</v>
      </c>
      <c r="T11" s="165" t="str">
        <f t="shared" si="9"/>
        <v>N/A</v>
      </c>
      <c r="U11" s="165" t="str">
        <f t="shared" si="9"/>
        <v>N/A</v>
      </c>
    </row>
    <row r="12" spans="1:21" ht="13.8" thickBot="1" x14ac:dyDescent="0.3">
      <c r="D12" s="139" t="s">
        <v>29</v>
      </c>
      <c r="E12" s="200">
        <f>'Cap-Collar'!C20</f>
        <v>8.2693842507883897</v>
      </c>
      <c r="F12" s="147"/>
      <c r="G12" s="209" t="s">
        <v>26</v>
      </c>
      <c r="H12" s="208" t="s">
        <v>58</v>
      </c>
      <c r="I12" s="208" t="s">
        <v>59</v>
      </c>
      <c r="J12" s="208" t="s">
        <v>60</v>
      </c>
      <c r="K12" s="208" t="s">
        <v>61</v>
      </c>
      <c r="L12" s="208" t="s">
        <v>62</v>
      </c>
      <c r="M12" s="208" t="s">
        <v>63</v>
      </c>
      <c r="O12" s="139"/>
      <c r="P12" s="152"/>
      <c r="Q12" s="152"/>
      <c r="R12" s="152"/>
      <c r="S12" s="152"/>
      <c r="T12" s="152"/>
      <c r="U12" s="153"/>
    </row>
    <row r="13" spans="1:21" ht="13.8" thickBot="1" x14ac:dyDescent="0.3">
      <c r="D13" s="166" t="s">
        <v>228</v>
      </c>
      <c r="E13" s="201"/>
      <c r="F13" s="147"/>
      <c r="G13" s="167" t="s">
        <v>28</v>
      </c>
      <c r="H13" s="184">
        <f>Cover!$C$22</f>
        <v>0</v>
      </c>
      <c r="I13" s="184">
        <f>Cover!$C$23</f>
        <v>0</v>
      </c>
      <c r="J13" s="184">
        <f>Cover!$C$24</f>
        <v>0</v>
      </c>
      <c r="K13" s="184">
        <f>Cover!$C$25</f>
        <v>0</v>
      </c>
      <c r="L13" s="184">
        <f>Cover!$C$26</f>
        <v>0</v>
      </c>
      <c r="M13" s="184">
        <f>Cover!C27</f>
        <v>0</v>
      </c>
      <c r="O13" s="156" t="s">
        <v>211</v>
      </c>
      <c r="P13" s="208" t="s">
        <v>58</v>
      </c>
      <c r="Q13" s="208" t="s">
        <v>59</v>
      </c>
      <c r="R13" s="208" t="s">
        <v>60</v>
      </c>
      <c r="S13" s="208" t="s">
        <v>61</v>
      </c>
      <c r="T13" s="208" t="s">
        <v>62</v>
      </c>
      <c r="U13" s="208" t="s">
        <v>63</v>
      </c>
    </row>
    <row r="14" spans="1:21" ht="13.8" thickBot="1" x14ac:dyDescent="0.3">
      <c r="D14" s="151" t="s">
        <v>212</v>
      </c>
      <c r="E14" s="202">
        <f>'Unplanned CMLs'!D25</f>
        <v>39.665500000000002</v>
      </c>
      <c r="F14" s="147"/>
      <c r="G14" s="168" t="s">
        <v>30</v>
      </c>
      <c r="H14" s="185" t="str">
        <f>IF(H13=0,"N/A",H$13&lt;H$6)</f>
        <v>N/A</v>
      </c>
      <c r="I14" s="185" t="str">
        <f t="shared" ref="I14:M14" si="10">IF(I13=0,"N/A",I$13&lt;I$6)</f>
        <v>N/A</v>
      </c>
      <c r="J14" s="185" t="str">
        <f t="shared" si="10"/>
        <v>N/A</v>
      </c>
      <c r="K14" s="185" t="str">
        <f t="shared" si="10"/>
        <v>N/A</v>
      </c>
      <c r="L14" s="185" t="str">
        <f t="shared" si="10"/>
        <v>N/A</v>
      </c>
      <c r="M14" s="185" t="str">
        <f t="shared" si="10"/>
        <v>N/A</v>
      </c>
      <c r="O14" s="148" t="s">
        <v>31</v>
      </c>
      <c r="P14" s="158">
        <f>H9</f>
        <v>51.002717584121719</v>
      </c>
      <c r="Q14" s="158">
        <f t="shared" ref="Q14:U16" si="11">I9</f>
        <v>38.702717584121729</v>
      </c>
      <c r="R14" s="158">
        <f t="shared" si="11"/>
        <v>26.136050917455059</v>
      </c>
      <c r="S14" s="158">
        <f t="shared" si="11"/>
        <v>13.26938425078839</v>
      </c>
      <c r="T14" s="158">
        <f t="shared" si="11"/>
        <v>13.26938425078839</v>
      </c>
      <c r="U14" s="158">
        <f t="shared" si="11"/>
        <v>13.26938425078839</v>
      </c>
    </row>
    <row r="15" spans="1:21" ht="13.8" thickBot="1" x14ac:dyDescent="0.3">
      <c r="D15" s="151" t="s">
        <v>213</v>
      </c>
      <c r="E15" s="203">
        <f>'Unplanned CMLs'!E25</f>
        <v>38.412190000000002</v>
      </c>
      <c r="F15" s="147"/>
      <c r="G15" s="168" t="s">
        <v>32</v>
      </c>
      <c r="H15" s="186" t="str">
        <f t="shared" ref="H15:M15" si="12">IF(H13=0,"N/A",H$6-H$13)</f>
        <v>N/A</v>
      </c>
      <c r="I15" s="186" t="str">
        <f t="shared" si="12"/>
        <v>N/A</v>
      </c>
      <c r="J15" s="186" t="str">
        <f t="shared" si="12"/>
        <v>N/A</v>
      </c>
      <c r="K15" s="186" t="str">
        <f t="shared" si="12"/>
        <v>N/A</v>
      </c>
      <c r="L15" s="186" t="str">
        <f t="shared" si="12"/>
        <v>N/A</v>
      </c>
      <c r="M15" s="186" t="str">
        <f t="shared" si="12"/>
        <v>N/A</v>
      </c>
      <c r="O15" s="148" t="s">
        <v>33</v>
      </c>
      <c r="P15" s="160">
        <f t="shared" ref="P15:P16" si="13">H10</f>
        <v>42.733333333333327</v>
      </c>
      <c r="Q15" s="160">
        <f t="shared" si="11"/>
        <v>30.433333333333337</v>
      </c>
      <c r="R15" s="160">
        <f t="shared" si="11"/>
        <v>17.866666666666667</v>
      </c>
      <c r="S15" s="160">
        <f t="shared" si="11"/>
        <v>5</v>
      </c>
      <c r="T15" s="160">
        <f t="shared" si="11"/>
        <v>5</v>
      </c>
      <c r="U15" s="160">
        <f t="shared" si="11"/>
        <v>5</v>
      </c>
    </row>
    <row r="16" spans="1:21" ht="13.8" thickBot="1" x14ac:dyDescent="0.3">
      <c r="D16" s="151" t="s">
        <v>214</v>
      </c>
      <c r="E16" s="203">
        <f>'Unplanned CMLs'!F25</f>
        <v>37.204746200000002</v>
      </c>
      <c r="F16" s="147"/>
      <c r="G16" s="168" t="s">
        <v>34</v>
      </c>
      <c r="H16" s="187" t="str">
        <f t="shared" ref="H16:L16" si="14">IF(H13=0,"N/A",H$15*$E$4)</f>
        <v>N/A</v>
      </c>
      <c r="I16" s="187" t="str">
        <f t="shared" si="14"/>
        <v>N/A</v>
      </c>
      <c r="J16" s="187" t="str">
        <f t="shared" si="14"/>
        <v>N/A</v>
      </c>
      <c r="K16" s="187" t="str">
        <f t="shared" si="14"/>
        <v>N/A</v>
      </c>
      <c r="L16" s="187" t="str">
        <f t="shared" si="14"/>
        <v>N/A</v>
      </c>
      <c r="M16" s="187" t="str">
        <f>IF(M13=0,"N/A",M$15*$E$4)</f>
        <v>N/A</v>
      </c>
      <c r="O16" s="161" t="s">
        <v>35</v>
      </c>
      <c r="P16" s="160">
        <f t="shared" si="13"/>
        <v>34.463949082544936</v>
      </c>
      <c r="Q16" s="160">
        <f t="shared" si="11"/>
        <v>22.163949082544946</v>
      </c>
      <c r="R16" s="160">
        <f t="shared" si="11"/>
        <v>9.5972824158782775</v>
      </c>
      <c r="S16" s="160">
        <f t="shared" si="11"/>
        <v>-3.2693842507883897</v>
      </c>
      <c r="T16" s="160">
        <f t="shared" si="11"/>
        <v>-3.2693842507883897</v>
      </c>
      <c r="U16" s="160">
        <f t="shared" si="11"/>
        <v>-3.2693842507883897</v>
      </c>
    </row>
    <row r="17" spans="4:21" ht="13.8" thickBot="1" x14ac:dyDescent="0.3">
      <c r="D17" s="151" t="s">
        <v>215</v>
      </c>
      <c r="E17" s="203">
        <f>'Unplanned CMLs'!G25</f>
        <v>35.992851275999996</v>
      </c>
      <c r="F17" s="147"/>
      <c r="G17" s="168" t="s">
        <v>36</v>
      </c>
      <c r="H17" s="188" t="str">
        <f t="shared" ref="H17:M17" si="15">IF(H13=0,"N/A",ABS(H$16)&gt;$E$9)</f>
        <v>N/A</v>
      </c>
      <c r="I17" s="188" t="str">
        <f t="shared" si="15"/>
        <v>N/A</v>
      </c>
      <c r="J17" s="188" t="str">
        <f t="shared" si="15"/>
        <v>N/A</v>
      </c>
      <c r="K17" s="188" t="str">
        <f t="shared" si="15"/>
        <v>N/A</v>
      </c>
      <c r="L17" s="188" t="str">
        <f t="shared" si="15"/>
        <v>N/A</v>
      </c>
      <c r="M17" s="188" t="str">
        <f t="shared" si="15"/>
        <v>N/A</v>
      </c>
      <c r="O17" s="148" t="s">
        <v>37</v>
      </c>
      <c r="P17" s="163">
        <f>H21</f>
        <v>0</v>
      </c>
      <c r="Q17" s="163">
        <f t="shared" ref="Q17:U17" si="16">I21</f>
        <v>0</v>
      </c>
      <c r="R17" s="163">
        <f t="shared" si="16"/>
        <v>0</v>
      </c>
      <c r="S17" s="163">
        <f t="shared" si="16"/>
        <v>0</v>
      </c>
      <c r="T17" s="163">
        <f t="shared" si="16"/>
        <v>0</v>
      </c>
      <c r="U17" s="163">
        <f t="shared" si="16"/>
        <v>0</v>
      </c>
    </row>
    <row r="18" spans="4:21" ht="13.8" thickBot="1" x14ac:dyDescent="0.3">
      <c r="D18" s="151" t="s">
        <v>216</v>
      </c>
      <c r="E18" s="203">
        <f>'Unplanned CMLs'!H25</f>
        <v>34.806194250479997</v>
      </c>
      <c r="F18" s="147"/>
      <c r="G18" s="168" t="s">
        <v>38</v>
      </c>
      <c r="H18" s="189" t="str">
        <f t="shared" ref="H18:L18" si="17">IF(H13=0,"N/A",IF(H16&gt;0,"Reward","Penalty"))</f>
        <v>N/A</v>
      </c>
      <c r="I18" s="189" t="str">
        <f t="shared" si="17"/>
        <v>N/A</v>
      </c>
      <c r="J18" s="189" t="str">
        <f t="shared" si="17"/>
        <v>N/A</v>
      </c>
      <c r="K18" s="189" t="str">
        <f t="shared" si="17"/>
        <v>N/A</v>
      </c>
      <c r="L18" s="189" t="str">
        <f t="shared" si="17"/>
        <v>N/A</v>
      </c>
      <c r="M18" s="189" t="str">
        <f>IF(M13=0,"N/A",IF(M16&gt;0,"Reward","Penalty"))</f>
        <v>N/A</v>
      </c>
      <c r="O18" s="148" t="str">
        <f>G22</f>
        <v>Did NIE Network beat the target?</v>
      </c>
      <c r="P18" s="169" t="str">
        <f>H22</f>
        <v>N/A</v>
      </c>
      <c r="Q18" s="169" t="str">
        <f t="shared" ref="Q18:U18" si="18">I22</f>
        <v>N/A</v>
      </c>
      <c r="R18" s="169" t="str">
        <f t="shared" si="18"/>
        <v>N/A</v>
      </c>
      <c r="S18" s="169" t="str">
        <f t="shared" si="18"/>
        <v>N/A</v>
      </c>
      <c r="T18" s="169" t="str">
        <f t="shared" si="18"/>
        <v>N/A</v>
      </c>
      <c r="U18" s="169" t="str">
        <f t="shared" si="18"/>
        <v>N/A</v>
      </c>
    </row>
    <row r="19" spans="4:21" ht="13.8" thickBot="1" x14ac:dyDescent="0.3">
      <c r="D19" s="151" t="s">
        <v>217</v>
      </c>
      <c r="E19" s="203">
        <f>'Unplanned CMLs'!I25</f>
        <v>33.614470365470396</v>
      </c>
      <c r="F19" s="147"/>
      <c r="G19" s="170" t="s">
        <v>39</v>
      </c>
      <c r="H19" s="190" t="str">
        <f t="shared" ref="H19:M19" si="19">IF(H13=0,"N/A",IF(H$17=FALSE,H$16,IF(H$16&gt;0,$E$9,$E$9*(-1))))</f>
        <v>N/A</v>
      </c>
      <c r="I19" s="190" t="str">
        <f t="shared" si="19"/>
        <v>N/A</v>
      </c>
      <c r="J19" s="190" t="str">
        <f t="shared" si="19"/>
        <v>N/A</v>
      </c>
      <c r="K19" s="190" t="str">
        <f t="shared" si="19"/>
        <v>N/A</v>
      </c>
      <c r="L19" s="190" t="str">
        <f t="shared" si="19"/>
        <v>N/A</v>
      </c>
      <c r="M19" s="190" t="str">
        <f t="shared" si="19"/>
        <v>N/A</v>
      </c>
      <c r="O19" s="139"/>
      <c r="U19" s="171"/>
    </row>
    <row r="20" spans="4:21" ht="13.8" thickBot="1" x14ac:dyDescent="0.3">
      <c r="D20" s="166" t="s">
        <v>233</v>
      </c>
      <c r="E20" s="204"/>
      <c r="F20" s="147"/>
      <c r="G20" s="209" t="s">
        <v>40</v>
      </c>
      <c r="H20" s="208" t="s">
        <v>58</v>
      </c>
      <c r="I20" s="208" t="s">
        <v>59</v>
      </c>
      <c r="J20" s="208" t="s">
        <v>60</v>
      </c>
      <c r="K20" s="208" t="s">
        <v>61</v>
      </c>
      <c r="L20" s="208" t="s">
        <v>62</v>
      </c>
      <c r="M20" s="208" t="s">
        <v>63</v>
      </c>
      <c r="O20" s="139"/>
    </row>
    <row r="21" spans="4:21" x14ac:dyDescent="0.25">
      <c r="D21" s="151" t="s">
        <v>218</v>
      </c>
      <c r="E21" s="202">
        <f>'Planned CML'!D24</f>
        <v>42.733333333333327</v>
      </c>
      <c r="F21" s="147"/>
      <c r="G21" s="167" t="s">
        <v>41</v>
      </c>
      <c r="H21" s="184">
        <f>Cover!$E$22</f>
        <v>0</v>
      </c>
      <c r="I21" s="184">
        <f>Cover!$E$23</f>
        <v>0</v>
      </c>
      <c r="J21" s="184">
        <f>Cover!$E$24</f>
        <v>0</v>
      </c>
      <c r="K21" s="184">
        <f>Cover!$E$25</f>
        <v>0</v>
      </c>
      <c r="L21" s="184">
        <f>Cover!$E$26</f>
        <v>0</v>
      </c>
      <c r="M21" s="184">
        <f>Cover!$E$27</f>
        <v>0</v>
      </c>
      <c r="O21" s="139"/>
    </row>
    <row r="22" spans="4:21" x14ac:dyDescent="0.25">
      <c r="D22" s="151" t="s">
        <v>219</v>
      </c>
      <c r="E22" s="205">
        <f>'Planned CML'!E24</f>
        <v>30.433333333333337</v>
      </c>
      <c r="F22" s="172"/>
      <c r="G22" s="168" t="s">
        <v>42</v>
      </c>
      <c r="H22" s="185" t="str">
        <f>IF(H21=0,"N/A",H$21&lt;H$10)</f>
        <v>N/A</v>
      </c>
      <c r="I22" s="185" t="str">
        <f t="shared" ref="I22:L22" si="20">IF(I21=0,"N/A",I$21&lt;I$10)</f>
        <v>N/A</v>
      </c>
      <c r="J22" s="185" t="str">
        <f t="shared" si="20"/>
        <v>N/A</v>
      </c>
      <c r="K22" s="185" t="str">
        <f t="shared" si="20"/>
        <v>N/A</v>
      </c>
      <c r="L22" s="185" t="str">
        <f t="shared" si="20"/>
        <v>N/A</v>
      </c>
      <c r="M22" s="185" t="str">
        <f t="shared" ref="M22" si="21">IF(M21=0,"N/A",M$21&lt;M$10)</f>
        <v>N/A</v>
      </c>
      <c r="O22" s="139"/>
    </row>
    <row r="23" spans="4:21" x14ac:dyDescent="0.25">
      <c r="D23" s="151" t="s">
        <v>220</v>
      </c>
      <c r="E23" s="205">
        <f>'Planned CML'!F24</f>
        <v>17.866666666666667</v>
      </c>
      <c r="F23" s="147"/>
      <c r="G23" s="168" t="s">
        <v>43</v>
      </c>
      <c r="H23" s="186" t="str">
        <f t="shared" ref="H23:L23" si="22">IF(H21=0,"N/A",H$10-H$21)</f>
        <v>N/A</v>
      </c>
      <c r="I23" s="186" t="str">
        <f t="shared" si="22"/>
        <v>N/A</v>
      </c>
      <c r="J23" s="186" t="str">
        <f t="shared" si="22"/>
        <v>N/A</v>
      </c>
      <c r="K23" s="186" t="str">
        <f t="shared" si="22"/>
        <v>N/A</v>
      </c>
      <c r="L23" s="186" t="str">
        <f t="shared" si="22"/>
        <v>N/A</v>
      </c>
      <c r="M23" s="186" t="str">
        <f t="shared" ref="M23" si="23">IF(M21=0,"N/A",M$10-M$21)</f>
        <v>N/A</v>
      </c>
      <c r="O23" s="139"/>
    </row>
    <row r="24" spans="4:21" x14ac:dyDescent="0.25">
      <c r="D24" s="151" t="s">
        <v>221</v>
      </c>
      <c r="E24" s="205">
        <f>'Planned CML'!G24</f>
        <v>5</v>
      </c>
      <c r="F24" s="147"/>
      <c r="G24" s="168" t="s">
        <v>44</v>
      </c>
      <c r="H24" s="187" t="str">
        <f t="shared" ref="H24:L24" si="24">IF(H21=0,"N/A",H$23*$E$5)</f>
        <v>N/A</v>
      </c>
      <c r="I24" s="187" t="str">
        <f t="shared" si="24"/>
        <v>N/A</v>
      </c>
      <c r="J24" s="187" t="str">
        <f t="shared" si="24"/>
        <v>N/A</v>
      </c>
      <c r="K24" s="187" t="str">
        <f t="shared" si="24"/>
        <v>N/A</v>
      </c>
      <c r="L24" s="187" t="str">
        <f t="shared" si="24"/>
        <v>N/A</v>
      </c>
      <c r="M24" s="187" t="str">
        <f t="shared" ref="M24" si="25">IF(M21=0,"N/A",M$23*$E$5)</f>
        <v>N/A</v>
      </c>
      <c r="O24" s="139"/>
    </row>
    <row r="25" spans="4:21" x14ac:dyDescent="0.25">
      <c r="D25" s="151" t="s">
        <v>222</v>
      </c>
      <c r="E25" s="205">
        <f>'Planned CML'!H24</f>
        <v>5</v>
      </c>
      <c r="F25" s="147"/>
      <c r="G25" s="168" t="s">
        <v>36</v>
      </c>
      <c r="H25" s="188" t="str">
        <f t="shared" ref="H25:M25" si="26">IF(H21=0,"N/A",ABS(H$24)&gt;$E$10)</f>
        <v>N/A</v>
      </c>
      <c r="I25" s="188" t="str">
        <f t="shared" si="26"/>
        <v>N/A</v>
      </c>
      <c r="J25" s="188" t="str">
        <f t="shared" si="26"/>
        <v>N/A</v>
      </c>
      <c r="K25" s="188" t="str">
        <f t="shared" si="26"/>
        <v>N/A</v>
      </c>
      <c r="L25" s="188" t="str">
        <f t="shared" si="26"/>
        <v>N/A</v>
      </c>
      <c r="M25" s="188" t="str">
        <f t="shared" si="26"/>
        <v>N/A</v>
      </c>
      <c r="O25" s="139"/>
    </row>
    <row r="26" spans="4:21" ht="13.8" thickBot="1" x14ac:dyDescent="0.3">
      <c r="D26" s="173" t="s">
        <v>223</v>
      </c>
      <c r="E26" s="206">
        <f>'Planned CML'!I24</f>
        <v>5</v>
      </c>
      <c r="F26" s="147"/>
      <c r="G26" s="168" t="s">
        <v>38</v>
      </c>
      <c r="H26" s="189" t="str">
        <f t="shared" ref="H26:L26" si="27">IF(H21=0,"N/A",IF(H24&gt;0,"Reward","Penalty"))</f>
        <v>N/A</v>
      </c>
      <c r="I26" s="189" t="str">
        <f t="shared" si="27"/>
        <v>N/A</v>
      </c>
      <c r="J26" s="189" t="str">
        <f t="shared" si="27"/>
        <v>N/A</v>
      </c>
      <c r="K26" s="189" t="str">
        <f t="shared" si="27"/>
        <v>N/A</v>
      </c>
      <c r="L26" s="189" t="str">
        <f t="shared" si="27"/>
        <v>N/A</v>
      </c>
      <c r="M26" s="189" t="str">
        <f t="shared" ref="M26" si="28">IF(M21=0,"N/A",IF(M24&gt;0,"Reward","Penalty"))</f>
        <v>N/A</v>
      </c>
      <c r="O26" s="139"/>
    </row>
    <row r="27" spans="4:21" ht="13.8" thickBot="1" x14ac:dyDescent="0.3">
      <c r="F27" s="147"/>
      <c r="G27" s="170" t="s">
        <v>45</v>
      </c>
      <c r="H27" s="191" t="str">
        <f t="shared" ref="H27:M27" si="29">IF(H21=0,"N/A",IF(H$25=FALSE,H$24,IF(H$24&gt;0,$E$10,$E$10*(-1))))</f>
        <v>N/A</v>
      </c>
      <c r="I27" s="191" t="str">
        <f t="shared" si="29"/>
        <v>N/A</v>
      </c>
      <c r="J27" s="191" t="str">
        <f t="shared" si="29"/>
        <v>N/A</v>
      </c>
      <c r="K27" s="191" t="str">
        <f t="shared" si="29"/>
        <v>N/A</v>
      </c>
      <c r="L27" s="191" t="str">
        <f t="shared" si="29"/>
        <v>N/A</v>
      </c>
      <c r="M27" s="191" t="str">
        <f t="shared" si="29"/>
        <v>N/A</v>
      </c>
      <c r="O27" s="139"/>
    </row>
    <row r="28" spans="4:21" ht="13.8" thickBot="1" x14ac:dyDescent="0.3">
      <c r="E28" s="174"/>
      <c r="F28" s="147"/>
      <c r="G28" s="209" t="s">
        <v>46</v>
      </c>
      <c r="H28" s="208" t="s">
        <v>58</v>
      </c>
      <c r="I28" s="208" t="s">
        <v>59</v>
      </c>
      <c r="J28" s="208" t="s">
        <v>60</v>
      </c>
      <c r="K28" s="208" t="s">
        <v>61</v>
      </c>
      <c r="L28" s="208" t="s">
        <v>62</v>
      </c>
      <c r="M28" s="208" t="s">
        <v>63</v>
      </c>
      <c r="O28" s="139"/>
    </row>
    <row r="29" spans="4:21" x14ac:dyDescent="0.25">
      <c r="E29" s="174"/>
      <c r="F29" s="147"/>
      <c r="G29" s="167" t="str">
        <f>G19</f>
        <v>Unplanned CML penalty/reward calculation (restricted)</v>
      </c>
      <c r="H29" s="192" t="str">
        <f>IF(H13=0,"N/A",H19)</f>
        <v>N/A</v>
      </c>
      <c r="I29" s="192" t="str">
        <f t="shared" ref="I29:L29" si="30">IF(I13=0,"N/A",I19)</f>
        <v>N/A</v>
      </c>
      <c r="J29" s="192" t="str">
        <f t="shared" si="30"/>
        <v>N/A</v>
      </c>
      <c r="K29" s="192" t="str">
        <f t="shared" si="30"/>
        <v>N/A</v>
      </c>
      <c r="L29" s="192" t="str">
        <f t="shared" si="30"/>
        <v>N/A</v>
      </c>
      <c r="M29" s="192" t="str">
        <f t="shared" ref="M29" si="31">IF(M13=0,"N/A",M19)</f>
        <v>N/A</v>
      </c>
      <c r="O29" s="139"/>
    </row>
    <row r="30" spans="4:21" x14ac:dyDescent="0.25">
      <c r="E30" s="174"/>
      <c r="F30" s="172"/>
      <c r="G30" s="168" t="str">
        <f>G27</f>
        <v>Planned CML penalty/reward calculation (restricted)</v>
      </c>
      <c r="H30" s="193" t="str">
        <f t="shared" ref="H30:L30" si="32">IF(H$21=0,"N/A",H27)</f>
        <v>N/A</v>
      </c>
      <c r="I30" s="193" t="str">
        <f t="shared" si="32"/>
        <v>N/A</v>
      </c>
      <c r="J30" s="193" t="str">
        <f t="shared" si="32"/>
        <v>N/A</v>
      </c>
      <c r="K30" s="193" t="str">
        <f t="shared" si="32"/>
        <v>N/A</v>
      </c>
      <c r="L30" s="193" t="str">
        <f t="shared" si="32"/>
        <v>N/A</v>
      </c>
      <c r="M30" s="193" t="str">
        <f t="shared" ref="M30" si="33">IF(M$21=0,"N/A",M27)</f>
        <v>N/A</v>
      </c>
      <c r="O30" s="139"/>
    </row>
    <row r="31" spans="4:21" ht="13.8" thickBot="1" x14ac:dyDescent="0.3">
      <c r="E31" s="174"/>
      <c r="G31" s="170" t="s">
        <v>47</v>
      </c>
      <c r="H31" s="190" t="str">
        <f>IF(OR(H13=0,H21=0),"N/A",H29+H30)</f>
        <v>N/A</v>
      </c>
      <c r="I31" s="190" t="str">
        <f t="shared" ref="I31:L31" si="34">IF(OR(I13=0,I21=0),"N/A",I29+I30)</f>
        <v>N/A</v>
      </c>
      <c r="J31" s="190" t="str">
        <f t="shared" si="34"/>
        <v>N/A</v>
      </c>
      <c r="K31" s="190" t="str">
        <f t="shared" si="34"/>
        <v>N/A</v>
      </c>
      <c r="L31" s="190" t="str">
        <f t="shared" si="34"/>
        <v>N/A</v>
      </c>
      <c r="M31" s="190" t="str">
        <f t="shared" ref="M31" si="35">IF(OR(M13=0,M21=0),"N/A",M29+M30)</f>
        <v>N/A</v>
      </c>
      <c r="O31" s="139"/>
    </row>
    <row r="32" spans="4:21" x14ac:dyDescent="0.25">
      <c r="E32" s="174"/>
      <c r="O32" s="139"/>
    </row>
    <row r="33" spans="5:15" x14ac:dyDescent="0.25">
      <c r="E33" s="174"/>
      <c r="O33" s="139"/>
    </row>
    <row r="34" spans="5:15" x14ac:dyDescent="0.25">
      <c r="E34" s="174"/>
      <c r="O34" s="139"/>
    </row>
    <row r="35" spans="5:15" x14ac:dyDescent="0.25">
      <c r="E35" s="174"/>
      <c r="O35" s="139"/>
    </row>
    <row r="36" spans="5:15" x14ac:dyDescent="0.25">
      <c r="O36" s="139"/>
    </row>
    <row r="37" spans="5:15" x14ac:dyDescent="0.25">
      <c r="O37" s="139"/>
    </row>
    <row r="38" spans="5:15" x14ac:dyDescent="0.25">
      <c r="O38" s="139"/>
    </row>
    <row r="39" spans="5:15" x14ac:dyDescent="0.25">
      <c r="F39" s="152"/>
      <c r="O39" s="139"/>
    </row>
    <row r="40" spans="5:15" x14ac:dyDescent="0.25">
      <c r="F40" s="152"/>
      <c r="O40" s="139"/>
    </row>
    <row r="41" spans="5:15" x14ac:dyDescent="0.25">
      <c r="F41" s="152"/>
      <c r="G41" s="147"/>
      <c r="O41" s="139"/>
    </row>
    <row r="42" spans="5:15" x14ac:dyDescent="0.25">
      <c r="F42" s="152"/>
      <c r="G42" s="147"/>
      <c r="O42" s="139"/>
    </row>
    <row r="43" spans="5:15" x14ac:dyDescent="0.25">
      <c r="F43" s="152"/>
      <c r="G43" s="147"/>
      <c r="O43" s="139"/>
    </row>
    <row r="44" spans="5:15" x14ac:dyDescent="0.25">
      <c r="F44" s="152"/>
      <c r="G44" s="147"/>
      <c r="O44" s="139"/>
    </row>
    <row r="45" spans="5:15" x14ac:dyDescent="0.25">
      <c r="F45" s="152"/>
      <c r="G45" s="172"/>
      <c r="O45" s="139"/>
    </row>
    <row r="46" spans="5:15" x14ac:dyDescent="0.25">
      <c r="F46" s="152"/>
      <c r="G46" s="172"/>
      <c r="O46" s="139"/>
    </row>
    <row r="47" spans="5:15" x14ac:dyDescent="0.25">
      <c r="F47" s="152"/>
      <c r="G47" s="172"/>
      <c r="O47" s="139"/>
    </row>
    <row r="48" spans="5:15" x14ac:dyDescent="0.25">
      <c r="F48" s="152"/>
      <c r="G48" s="175"/>
      <c r="O48" s="139"/>
    </row>
    <row r="49" spans="6:21" x14ac:dyDescent="0.25">
      <c r="F49" s="152"/>
      <c r="G49" s="175"/>
      <c r="O49" s="139"/>
    </row>
    <row r="50" spans="6:21" x14ac:dyDescent="0.25">
      <c r="O50" s="139"/>
    </row>
    <row r="51" spans="6:21" x14ac:dyDescent="0.25">
      <c r="O51" s="139"/>
    </row>
    <row r="52" spans="6:21" ht="13.8" thickBot="1" x14ac:dyDescent="0.3">
      <c r="O52" s="154"/>
      <c r="P52" s="176"/>
      <c r="Q52" s="176"/>
      <c r="R52" s="176"/>
      <c r="S52" s="176"/>
      <c r="T52" s="176"/>
      <c r="U52" s="176"/>
    </row>
  </sheetData>
  <phoneticPr fontId="12" type="noConversion"/>
  <conditionalFormatting sqref="H14:M14 H22:M22">
    <cfRule type="cellIs" dxfId="8" priority="9" operator="equal">
      <formula>TRUE</formula>
    </cfRule>
  </conditionalFormatting>
  <conditionalFormatting sqref="H17:M17 H25:M25">
    <cfRule type="containsText" dxfId="7" priority="17" operator="containsText" text="TRUE">
      <formula>NOT(ISERROR(SEARCH("TRUE",H17)))</formula>
    </cfRule>
    <cfRule type="containsText" dxfId="6" priority="18" operator="containsText" text="FALSE">
      <formula>NOT(ISERROR(SEARCH("FALSE",H17)))</formula>
    </cfRule>
  </conditionalFormatting>
  <conditionalFormatting sqref="H18:M18 H26:M26">
    <cfRule type="containsText" dxfId="5" priority="19" operator="containsText" text="Penalty">
      <formula>NOT(ISERROR(SEARCH("Penalty",H18)))</formula>
    </cfRule>
    <cfRule type="containsText" dxfId="4" priority="20" operator="containsText" text="Reward">
      <formula>NOT(ISERROR(SEARCH("Reward",H18)))</formula>
    </cfRule>
  </conditionalFormatting>
  <conditionalFormatting sqref="P11:U11">
    <cfRule type="containsText" dxfId="3" priority="3" operator="containsText" text="FALSE">
      <formula>NOT(ISERROR(SEARCH("FALSE",P11)))</formula>
    </cfRule>
    <cfRule type="containsText" dxfId="2" priority="4" operator="containsText" text="TRUE">
      <formula>NOT(ISERROR(SEARCH("TRUE",P11)))</formula>
    </cfRule>
  </conditionalFormatting>
  <conditionalFormatting sqref="P18:U18">
    <cfRule type="containsText" dxfId="1" priority="1" operator="containsText" text="FALSE">
      <formula>NOT(ISERROR(SEARCH("FALSE",P18)))</formula>
    </cfRule>
    <cfRule type="containsText" dxfId="0" priority="2" operator="containsText" text="TRUE">
      <formula>NOT(ISERROR(SEARCH("TRUE",P18)))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EFE94-5911-4A47-8B43-274FCC66F46D}">
  <dimension ref="A1:V25"/>
  <sheetViews>
    <sheetView showGridLines="0" zoomScale="85" zoomScaleNormal="85" workbookViewId="0"/>
  </sheetViews>
  <sheetFormatPr defaultRowHeight="14.4" x14ac:dyDescent="0.3"/>
  <cols>
    <col min="1" max="1" width="21.77734375" bestFit="1" customWidth="1"/>
    <col min="2" max="2" width="30.5546875" bestFit="1" customWidth="1"/>
    <col min="3" max="3" width="10.6640625" style="95" customWidth="1"/>
    <col min="4" max="4" width="11.5546875" style="95" customWidth="1"/>
    <col min="5" max="21" width="10.6640625" style="95" customWidth="1"/>
    <col min="22" max="22" width="15.21875" style="95" bestFit="1" customWidth="1"/>
  </cols>
  <sheetData>
    <row r="1" spans="1:22" x14ac:dyDescent="0.3">
      <c r="A1" s="177" t="s">
        <v>236</v>
      </c>
    </row>
    <row r="3" spans="1:22" x14ac:dyDescent="0.3">
      <c r="A3" s="84"/>
      <c r="B3" s="85" t="s">
        <v>170</v>
      </c>
      <c r="C3" s="85" t="s">
        <v>171</v>
      </c>
      <c r="D3" s="85" t="s">
        <v>172</v>
      </c>
      <c r="E3" s="85" t="s">
        <v>173</v>
      </c>
      <c r="F3" s="85" t="s">
        <v>174</v>
      </c>
      <c r="G3" s="85" t="s">
        <v>175</v>
      </c>
      <c r="H3" s="85" t="s">
        <v>176</v>
      </c>
      <c r="I3" s="85" t="s">
        <v>177</v>
      </c>
      <c r="J3" s="85" t="s">
        <v>178</v>
      </c>
      <c r="K3" s="85" t="s">
        <v>179</v>
      </c>
      <c r="L3" s="85" t="s">
        <v>180</v>
      </c>
      <c r="M3" s="85" t="s">
        <v>181</v>
      </c>
      <c r="N3" s="85" t="s">
        <v>182</v>
      </c>
      <c r="O3" s="85" t="s">
        <v>183</v>
      </c>
      <c r="P3" s="85" t="s">
        <v>184</v>
      </c>
      <c r="Q3" s="85" t="s">
        <v>185</v>
      </c>
      <c r="R3" s="85" t="s">
        <v>186</v>
      </c>
      <c r="S3" s="85" t="s">
        <v>187</v>
      </c>
      <c r="T3" s="86" t="s">
        <v>188</v>
      </c>
      <c r="U3" s="96" t="s">
        <v>189</v>
      </c>
      <c r="V3" s="123" t="s">
        <v>190</v>
      </c>
    </row>
    <row r="4" spans="1:22" x14ac:dyDescent="0.3">
      <c r="A4" s="216" t="s">
        <v>191</v>
      </c>
      <c r="B4" s="88" t="s">
        <v>192</v>
      </c>
      <c r="C4" s="90">
        <v>4.5999999999999996</v>
      </c>
      <c r="D4" s="90">
        <v>4.8</v>
      </c>
      <c r="E4" s="90">
        <v>5.3</v>
      </c>
      <c r="F4" s="90">
        <v>5</v>
      </c>
      <c r="G4" s="90">
        <v>4.2</v>
      </c>
      <c r="H4" s="91">
        <v>4.2</v>
      </c>
      <c r="I4" s="91">
        <v>3.6</v>
      </c>
      <c r="J4" s="91">
        <v>3.1</v>
      </c>
      <c r="K4" s="91">
        <v>2.7</v>
      </c>
      <c r="L4" s="91">
        <v>4.0999999999999996</v>
      </c>
      <c r="M4" s="91">
        <v>4</v>
      </c>
      <c r="N4" s="91">
        <v>3.6</v>
      </c>
      <c r="O4" s="91">
        <v>3.7</v>
      </c>
      <c r="P4" s="91">
        <v>3.7</v>
      </c>
      <c r="Q4" s="91">
        <v>3.4</v>
      </c>
      <c r="R4" s="91">
        <v>3.5</v>
      </c>
      <c r="S4" s="91">
        <v>3.2</v>
      </c>
      <c r="T4" s="92">
        <v>3</v>
      </c>
      <c r="U4" s="97">
        <v>3.5</v>
      </c>
      <c r="V4" s="124">
        <f>AVERAGE(R4:U4)</f>
        <v>3.3</v>
      </c>
    </row>
    <row r="5" spans="1:22" x14ac:dyDescent="0.3">
      <c r="A5" s="217"/>
      <c r="B5" s="88" t="s">
        <v>193</v>
      </c>
      <c r="C5" s="90">
        <v>59.9</v>
      </c>
      <c r="D5" s="90">
        <v>66</v>
      </c>
      <c r="E5" s="90">
        <v>57.5</v>
      </c>
      <c r="F5" s="90">
        <v>49.1</v>
      </c>
      <c r="G5" s="90">
        <v>51.5</v>
      </c>
      <c r="H5" s="91">
        <v>54.4</v>
      </c>
      <c r="I5" s="91">
        <v>47.8</v>
      </c>
      <c r="J5" s="91">
        <v>42.5</v>
      </c>
      <c r="K5" s="91">
        <v>46.9</v>
      </c>
      <c r="L5" s="91">
        <v>48.2</v>
      </c>
      <c r="M5" s="91">
        <v>46</v>
      </c>
      <c r="N5" s="91">
        <v>43</v>
      </c>
      <c r="O5" s="91">
        <v>53.2</v>
      </c>
      <c r="P5" s="91">
        <v>50.3</v>
      </c>
      <c r="Q5" s="91">
        <v>39.799999999999997</v>
      </c>
      <c r="R5" s="91">
        <v>37.5</v>
      </c>
      <c r="S5" s="91">
        <v>44.5</v>
      </c>
      <c r="T5" s="92">
        <v>44.5</v>
      </c>
      <c r="U5" s="97">
        <v>41</v>
      </c>
      <c r="V5" s="124">
        <f t="shared" ref="V5:V7" si="0">AVERAGE(R5:U5)</f>
        <v>41.875</v>
      </c>
    </row>
    <row r="6" spans="1:22" x14ac:dyDescent="0.3">
      <c r="A6" s="217"/>
      <c r="B6" s="88" t="s">
        <v>194</v>
      </c>
      <c r="C6" s="90">
        <v>21.2</v>
      </c>
      <c r="D6" s="90">
        <v>15.7</v>
      </c>
      <c r="E6" s="90">
        <v>14.7</v>
      </c>
      <c r="F6" s="90">
        <v>7</v>
      </c>
      <c r="G6" s="90">
        <v>13.1</v>
      </c>
      <c r="H6" s="91">
        <v>18.7</v>
      </c>
      <c r="I6" s="91">
        <v>12.6</v>
      </c>
      <c r="J6" s="91">
        <v>13.8</v>
      </c>
      <c r="K6" s="91">
        <v>13.6</v>
      </c>
      <c r="L6" s="91">
        <v>21.2</v>
      </c>
      <c r="M6" s="91">
        <v>12.6</v>
      </c>
      <c r="N6" s="91">
        <v>15.4</v>
      </c>
      <c r="O6" s="91">
        <v>13.8</v>
      </c>
      <c r="P6" s="91">
        <v>14.4</v>
      </c>
      <c r="Q6" s="91">
        <v>12.1</v>
      </c>
      <c r="R6" s="91">
        <v>16.100000000000001</v>
      </c>
      <c r="S6" s="91">
        <v>11.8</v>
      </c>
      <c r="T6" s="92">
        <v>4.5</v>
      </c>
      <c r="U6" s="97">
        <v>9.9</v>
      </c>
      <c r="V6" s="124">
        <f t="shared" si="0"/>
        <v>10.575000000000001</v>
      </c>
    </row>
    <row r="7" spans="1:22" x14ac:dyDescent="0.3">
      <c r="A7" s="217"/>
      <c r="B7" s="89" t="s">
        <v>195</v>
      </c>
      <c r="C7" s="94">
        <f>SUM(C4:C6)</f>
        <v>85.7</v>
      </c>
      <c r="D7" s="94">
        <f t="shared" ref="D7:U7" si="1">SUM(D4:D6)</f>
        <v>86.5</v>
      </c>
      <c r="E7" s="94">
        <f t="shared" si="1"/>
        <v>77.5</v>
      </c>
      <c r="F7" s="94">
        <f t="shared" si="1"/>
        <v>61.1</v>
      </c>
      <c r="G7" s="94">
        <f t="shared" si="1"/>
        <v>68.8</v>
      </c>
      <c r="H7" s="94">
        <f t="shared" si="1"/>
        <v>77.3</v>
      </c>
      <c r="I7" s="94">
        <f t="shared" si="1"/>
        <v>64</v>
      </c>
      <c r="J7" s="94">
        <f t="shared" si="1"/>
        <v>59.400000000000006</v>
      </c>
      <c r="K7" s="94">
        <f t="shared" si="1"/>
        <v>63.2</v>
      </c>
      <c r="L7" s="94">
        <f t="shared" si="1"/>
        <v>73.5</v>
      </c>
      <c r="M7" s="94">
        <f t="shared" si="1"/>
        <v>62.6</v>
      </c>
      <c r="N7" s="94">
        <f t="shared" si="1"/>
        <v>62</v>
      </c>
      <c r="O7" s="94">
        <f t="shared" si="1"/>
        <v>70.7</v>
      </c>
      <c r="P7" s="94">
        <f t="shared" si="1"/>
        <v>68.400000000000006</v>
      </c>
      <c r="Q7" s="94">
        <f t="shared" si="1"/>
        <v>55.3</v>
      </c>
      <c r="R7" s="94">
        <f t="shared" si="1"/>
        <v>57.1</v>
      </c>
      <c r="S7" s="94">
        <f t="shared" si="1"/>
        <v>59.5</v>
      </c>
      <c r="T7" s="94">
        <f t="shared" si="1"/>
        <v>52</v>
      </c>
      <c r="U7" s="98">
        <f t="shared" si="1"/>
        <v>54.4</v>
      </c>
      <c r="V7" s="124">
        <f t="shared" si="0"/>
        <v>55.75</v>
      </c>
    </row>
    <row r="8" spans="1:22" x14ac:dyDescent="0.3">
      <c r="A8" s="217"/>
      <c r="B8" s="88" t="s">
        <v>196</v>
      </c>
      <c r="C8" s="90">
        <v>16</v>
      </c>
      <c r="D8" s="90">
        <v>16.5</v>
      </c>
      <c r="E8" s="90">
        <v>19.899999999999999</v>
      </c>
      <c r="F8" s="90">
        <v>19.600000000000001</v>
      </c>
      <c r="G8" s="90">
        <v>16.600000000000001</v>
      </c>
      <c r="H8" s="91">
        <v>18.399999999999999</v>
      </c>
      <c r="I8" s="91">
        <v>18.100000000000001</v>
      </c>
      <c r="J8" s="91">
        <v>16.2</v>
      </c>
      <c r="K8" s="91">
        <v>13.6</v>
      </c>
      <c r="L8" s="91">
        <v>14.8</v>
      </c>
      <c r="M8" s="91">
        <v>18.899999999999999</v>
      </c>
      <c r="N8" s="91">
        <v>17.3</v>
      </c>
      <c r="O8" s="91">
        <v>15.3</v>
      </c>
      <c r="P8" s="91">
        <v>11.7</v>
      </c>
      <c r="Q8" s="91">
        <v>13.8</v>
      </c>
      <c r="R8" s="91">
        <v>10.8</v>
      </c>
      <c r="S8" s="91">
        <v>10.6</v>
      </c>
      <c r="T8" s="92">
        <v>14.1</v>
      </c>
      <c r="U8" s="97">
        <v>10.9</v>
      </c>
      <c r="V8" s="124"/>
    </row>
    <row r="9" spans="1:22" x14ac:dyDescent="0.3">
      <c r="A9" s="217"/>
      <c r="B9" s="88" t="s">
        <v>197</v>
      </c>
      <c r="C9" s="91"/>
      <c r="D9" s="91"/>
      <c r="E9" s="91"/>
      <c r="F9" s="91"/>
      <c r="G9" s="91"/>
      <c r="H9" s="91">
        <v>0</v>
      </c>
      <c r="I9" s="91">
        <v>5.6</v>
      </c>
      <c r="J9" s="91">
        <v>5.5</v>
      </c>
      <c r="K9" s="91">
        <v>2.2000000000000002</v>
      </c>
      <c r="L9" s="91">
        <v>0.3</v>
      </c>
      <c r="M9" s="91">
        <v>26</v>
      </c>
      <c r="N9" s="91">
        <v>13.3</v>
      </c>
      <c r="O9" s="91">
        <v>4</v>
      </c>
      <c r="P9" s="91"/>
      <c r="Q9" s="91">
        <v>0</v>
      </c>
      <c r="R9" s="91">
        <v>2.2000000000000002</v>
      </c>
      <c r="S9" s="91">
        <v>0</v>
      </c>
      <c r="T9" s="92">
        <v>6.5</v>
      </c>
      <c r="U9" s="97">
        <v>4.3</v>
      </c>
      <c r="V9" s="124"/>
    </row>
    <row r="10" spans="1:22" x14ac:dyDescent="0.3">
      <c r="A10" s="218"/>
      <c r="B10" s="88" t="s">
        <v>198</v>
      </c>
      <c r="C10" s="91"/>
      <c r="D10" s="91"/>
      <c r="E10" s="91"/>
      <c r="F10" s="91"/>
      <c r="G10" s="91"/>
      <c r="H10" s="91">
        <v>95.7</v>
      </c>
      <c r="I10" s="91">
        <v>87.7</v>
      </c>
      <c r="J10" s="91">
        <v>81.099999999999994</v>
      </c>
      <c r="K10" s="91">
        <v>79</v>
      </c>
      <c r="L10" s="91">
        <v>88.6</v>
      </c>
      <c r="M10" s="91">
        <v>107.5</v>
      </c>
      <c r="N10" s="91">
        <v>92.4</v>
      </c>
      <c r="O10" s="91">
        <v>89.9</v>
      </c>
      <c r="P10" s="91">
        <v>88.5</v>
      </c>
      <c r="Q10" s="91">
        <v>69.099999999999994</v>
      </c>
      <c r="R10" s="91">
        <v>79.2</v>
      </c>
      <c r="S10" s="91">
        <v>72.5</v>
      </c>
      <c r="T10" s="92">
        <v>52.7</v>
      </c>
      <c r="U10" s="97">
        <v>69.7</v>
      </c>
      <c r="V10" s="124"/>
    </row>
    <row r="11" spans="1:22" x14ac:dyDescent="0.3">
      <c r="A11" s="84"/>
      <c r="B11" s="84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2"/>
      <c r="U11" s="97"/>
      <c r="V11" s="124"/>
    </row>
    <row r="12" spans="1:22" x14ac:dyDescent="0.3">
      <c r="A12" s="219" t="s">
        <v>199</v>
      </c>
      <c r="B12" s="88" t="s">
        <v>192</v>
      </c>
      <c r="C12" s="90">
        <v>10.6</v>
      </c>
      <c r="D12" s="90">
        <v>11.5</v>
      </c>
      <c r="E12" s="90">
        <v>11.5</v>
      </c>
      <c r="F12" s="90">
        <v>10.4</v>
      </c>
      <c r="G12" s="90">
        <v>8</v>
      </c>
      <c r="H12" s="91">
        <v>7.9</v>
      </c>
      <c r="I12" s="91">
        <v>7.5</v>
      </c>
      <c r="J12" s="91">
        <v>6.4</v>
      </c>
      <c r="K12" s="91">
        <v>6</v>
      </c>
      <c r="L12" s="91">
        <v>9.1</v>
      </c>
      <c r="M12" s="91">
        <v>8.6999999999999993</v>
      </c>
      <c r="N12" s="91">
        <v>6.9</v>
      </c>
      <c r="O12" s="91">
        <v>7.3</v>
      </c>
      <c r="P12" s="91">
        <v>6.3</v>
      </c>
      <c r="Q12" s="91">
        <v>5.8</v>
      </c>
      <c r="R12" s="91">
        <v>6.1</v>
      </c>
      <c r="S12" s="91">
        <v>6.1</v>
      </c>
      <c r="T12" s="92">
        <v>6.1</v>
      </c>
      <c r="U12" s="97">
        <v>6.7</v>
      </c>
      <c r="V12" s="124">
        <f>AVERAGE(R12:U12)</f>
        <v>6.2499999999999991</v>
      </c>
    </row>
    <row r="13" spans="1:22" x14ac:dyDescent="0.3">
      <c r="A13" s="219"/>
      <c r="B13" s="88" t="s">
        <v>193</v>
      </c>
      <c r="C13" s="90">
        <v>57.7</v>
      </c>
      <c r="D13" s="90">
        <v>66.8</v>
      </c>
      <c r="E13" s="90">
        <v>60.6</v>
      </c>
      <c r="F13" s="90">
        <v>48.6</v>
      </c>
      <c r="G13" s="90">
        <v>48.1</v>
      </c>
      <c r="H13" s="91">
        <v>50</v>
      </c>
      <c r="I13" s="91">
        <v>42</v>
      </c>
      <c r="J13" s="91">
        <v>41.8</v>
      </c>
      <c r="K13" s="91">
        <v>43.5</v>
      </c>
      <c r="L13" s="91">
        <v>48.5</v>
      </c>
      <c r="M13" s="91">
        <v>49.8</v>
      </c>
      <c r="N13" s="91">
        <v>42</v>
      </c>
      <c r="O13" s="91">
        <v>42.9</v>
      </c>
      <c r="P13" s="91">
        <v>37.6</v>
      </c>
      <c r="Q13" s="91">
        <v>28.7</v>
      </c>
      <c r="R13" s="91">
        <v>27.6</v>
      </c>
      <c r="S13" s="91">
        <v>35.799999999999997</v>
      </c>
      <c r="T13" s="92">
        <v>27.6</v>
      </c>
      <c r="U13" s="97">
        <v>33.1</v>
      </c>
      <c r="V13" s="124">
        <f>AVERAGE(R13:U13)</f>
        <v>31.024999999999999</v>
      </c>
    </row>
    <row r="14" spans="1:22" x14ac:dyDescent="0.3">
      <c r="A14" s="219"/>
      <c r="B14" s="88" t="s">
        <v>194</v>
      </c>
      <c r="C14" s="90">
        <v>5.5</v>
      </c>
      <c r="D14" s="90">
        <v>4.5999999999999996</v>
      </c>
      <c r="E14" s="90">
        <v>7.5</v>
      </c>
      <c r="F14" s="90">
        <v>3.2</v>
      </c>
      <c r="G14" s="90">
        <v>3</v>
      </c>
      <c r="H14" s="91">
        <v>8.4</v>
      </c>
      <c r="I14" s="91">
        <v>3.6</v>
      </c>
      <c r="J14" s="91">
        <v>4.9000000000000004</v>
      </c>
      <c r="K14" s="91">
        <v>3</v>
      </c>
      <c r="L14" s="91">
        <v>6.5</v>
      </c>
      <c r="M14" s="91">
        <v>3.9</v>
      </c>
      <c r="N14" s="91">
        <v>6.5</v>
      </c>
      <c r="O14" s="91">
        <v>4.8</v>
      </c>
      <c r="P14" s="91">
        <v>4.7</v>
      </c>
      <c r="Q14" s="91">
        <v>3.6</v>
      </c>
      <c r="R14" s="91">
        <v>4.8</v>
      </c>
      <c r="S14" s="91">
        <v>3.1</v>
      </c>
      <c r="T14" s="92">
        <v>1.8</v>
      </c>
      <c r="U14" s="97">
        <v>3.1</v>
      </c>
      <c r="V14" s="124">
        <f>AVERAGE(R14:U14)</f>
        <v>3.2</v>
      </c>
    </row>
    <row r="15" spans="1:22" x14ac:dyDescent="0.3">
      <c r="A15" s="219"/>
      <c r="B15" s="116" t="s">
        <v>195</v>
      </c>
      <c r="C15" s="117">
        <f>SUM(C12:C14)</f>
        <v>73.8</v>
      </c>
      <c r="D15" s="117">
        <f t="shared" ref="D15:U15" si="2">SUM(D12:D14)</f>
        <v>82.899999999999991</v>
      </c>
      <c r="E15" s="117">
        <f t="shared" si="2"/>
        <v>79.599999999999994</v>
      </c>
      <c r="F15" s="117">
        <f t="shared" si="2"/>
        <v>62.2</v>
      </c>
      <c r="G15" s="117">
        <f t="shared" si="2"/>
        <v>59.1</v>
      </c>
      <c r="H15" s="117">
        <f t="shared" si="2"/>
        <v>66.3</v>
      </c>
      <c r="I15" s="117">
        <f t="shared" si="2"/>
        <v>53.1</v>
      </c>
      <c r="J15" s="117">
        <f t="shared" si="2"/>
        <v>53.099999999999994</v>
      </c>
      <c r="K15" s="117">
        <f t="shared" si="2"/>
        <v>52.5</v>
      </c>
      <c r="L15" s="117">
        <f t="shared" si="2"/>
        <v>64.099999999999994</v>
      </c>
      <c r="M15" s="117">
        <f t="shared" si="2"/>
        <v>62.4</v>
      </c>
      <c r="N15" s="117">
        <f t="shared" si="2"/>
        <v>55.4</v>
      </c>
      <c r="O15" s="117">
        <f t="shared" si="2"/>
        <v>54.999999999999993</v>
      </c>
      <c r="P15" s="117">
        <f t="shared" si="2"/>
        <v>48.6</v>
      </c>
      <c r="Q15" s="117">
        <f t="shared" si="2"/>
        <v>38.1</v>
      </c>
      <c r="R15" s="121">
        <f t="shared" si="2"/>
        <v>38.5</v>
      </c>
      <c r="S15" s="121">
        <f t="shared" si="2"/>
        <v>45</v>
      </c>
      <c r="T15" s="121">
        <f t="shared" si="2"/>
        <v>35.5</v>
      </c>
      <c r="U15" s="122">
        <f t="shared" si="2"/>
        <v>42.900000000000006</v>
      </c>
      <c r="V15" s="125">
        <f>AVERAGE(R15:U15)</f>
        <v>40.475000000000001</v>
      </c>
    </row>
    <row r="16" spans="1:22" x14ac:dyDescent="0.3">
      <c r="A16" s="219"/>
      <c r="B16" s="88" t="s">
        <v>196</v>
      </c>
      <c r="C16" s="90">
        <v>46.8</v>
      </c>
      <c r="D16" s="90">
        <v>50.1</v>
      </c>
      <c r="E16" s="90">
        <v>64.8</v>
      </c>
      <c r="F16" s="90">
        <v>63.2</v>
      </c>
      <c r="G16" s="90">
        <v>51.8</v>
      </c>
      <c r="H16" s="91">
        <v>58.7</v>
      </c>
      <c r="I16" s="91">
        <v>59.2</v>
      </c>
      <c r="J16" s="91">
        <v>54.5</v>
      </c>
      <c r="K16" s="91">
        <v>47.6</v>
      </c>
      <c r="L16" s="91">
        <v>52.3</v>
      </c>
      <c r="M16" s="91">
        <v>70.2</v>
      </c>
      <c r="N16" s="91">
        <v>64.8</v>
      </c>
      <c r="O16" s="91">
        <v>56.1</v>
      </c>
      <c r="P16" s="91">
        <v>41.6</v>
      </c>
      <c r="Q16" s="91">
        <v>43.5</v>
      </c>
      <c r="R16" s="91">
        <v>32.9</v>
      </c>
      <c r="S16" s="91">
        <v>36.9</v>
      </c>
      <c r="T16" s="92">
        <v>37.700000000000003</v>
      </c>
      <c r="U16" s="97">
        <v>38.6</v>
      </c>
      <c r="V16" s="126"/>
    </row>
    <row r="17" spans="1:22" x14ac:dyDescent="0.3">
      <c r="A17" s="219"/>
      <c r="B17" s="88" t="s">
        <v>197</v>
      </c>
      <c r="C17" s="91"/>
      <c r="D17" s="91"/>
      <c r="E17" s="91"/>
      <c r="F17" s="91"/>
      <c r="G17" s="91"/>
      <c r="H17" s="91">
        <v>0</v>
      </c>
      <c r="I17" s="91">
        <v>3</v>
      </c>
      <c r="J17" s="91">
        <v>0.8</v>
      </c>
      <c r="K17" s="91">
        <v>0.2</v>
      </c>
      <c r="L17" s="91">
        <v>0</v>
      </c>
      <c r="M17" s="91">
        <v>5</v>
      </c>
      <c r="N17" s="91">
        <v>3.3</v>
      </c>
      <c r="O17" s="91">
        <v>2.5</v>
      </c>
      <c r="P17" s="91"/>
      <c r="Q17" s="91">
        <v>0</v>
      </c>
      <c r="R17" s="91">
        <v>1.6</v>
      </c>
      <c r="S17" s="91">
        <v>0</v>
      </c>
      <c r="T17" s="92">
        <v>0</v>
      </c>
      <c r="U17" s="97">
        <v>1</v>
      </c>
      <c r="V17" s="126"/>
    </row>
    <row r="18" spans="1:22" x14ac:dyDescent="0.3">
      <c r="A18" s="219"/>
      <c r="B18" s="88" t="s">
        <v>198</v>
      </c>
      <c r="C18" s="91"/>
      <c r="D18" s="91"/>
      <c r="E18" s="91"/>
      <c r="F18" s="91"/>
      <c r="G18" s="91"/>
      <c r="H18" s="91">
        <v>125</v>
      </c>
      <c r="I18" s="91">
        <v>115.3</v>
      </c>
      <c r="J18" s="91">
        <v>108.4</v>
      </c>
      <c r="K18" s="91">
        <v>100.3</v>
      </c>
      <c r="L18" s="91">
        <v>116.4</v>
      </c>
      <c r="M18" s="91">
        <v>137.6</v>
      </c>
      <c r="N18" s="91">
        <v>123.5</v>
      </c>
      <c r="O18" s="91">
        <v>113.6</v>
      </c>
      <c r="P18" s="91">
        <v>93</v>
      </c>
      <c r="Q18" s="91">
        <v>81.599999999999994</v>
      </c>
      <c r="R18" s="91">
        <v>79.2</v>
      </c>
      <c r="S18" s="91">
        <v>81.900000000000006</v>
      </c>
      <c r="T18" s="92">
        <v>73.3</v>
      </c>
      <c r="U18" s="97">
        <v>82.5</v>
      </c>
      <c r="V18" s="126"/>
    </row>
    <row r="21" spans="1:22" x14ac:dyDescent="0.3">
      <c r="A21" s="220" t="s">
        <v>229</v>
      </c>
      <c r="B21" s="222" t="s">
        <v>200</v>
      </c>
      <c r="C21" s="99"/>
      <c r="D21" s="219" t="s">
        <v>201</v>
      </c>
      <c r="E21" s="219"/>
      <c r="F21" s="219"/>
      <c r="G21" s="219"/>
      <c r="H21" s="219"/>
      <c r="I21" s="219"/>
    </row>
    <row r="22" spans="1:22" x14ac:dyDescent="0.3">
      <c r="A22" s="221"/>
      <c r="B22" s="222"/>
      <c r="C22" s="85" t="s">
        <v>202</v>
      </c>
      <c r="D22" s="85" t="s">
        <v>203</v>
      </c>
      <c r="E22" s="85" t="s">
        <v>204</v>
      </c>
      <c r="F22" s="85" t="s">
        <v>205</v>
      </c>
      <c r="G22" s="85" t="s">
        <v>206</v>
      </c>
      <c r="H22" s="85" t="s">
        <v>207</v>
      </c>
      <c r="I22" s="85" t="s">
        <v>208</v>
      </c>
    </row>
    <row r="23" spans="1:22" x14ac:dyDescent="0.3">
      <c r="A23" s="221"/>
      <c r="B23" s="100" t="s">
        <v>224</v>
      </c>
      <c r="C23" s="101">
        <f>V15</f>
        <v>40.475000000000001</v>
      </c>
      <c r="D23" s="102">
        <f t="shared" ref="D23:I23" si="3">C23*0.98</f>
        <v>39.665500000000002</v>
      </c>
      <c r="E23" s="102">
        <f t="shared" si="3"/>
        <v>38.872190000000003</v>
      </c>
      <c r="F23" s="102">
        <f t="shared" si="3"/>
        <v>38.094746200000003</v>
      </c>
      <c r="G23" s="102">
        <f t="shared" si="3"/>
        <v>37.332851276</v>
      </c>
      <c r="H23" s="102">
        <f t="shared" si="3"/>
        <v>36.586194250479998</v>
      </c>
      <c r="I23" s="102">
        <f t="shared" si="3"/>
        <v>35.854470365470398</v>
      </c>
    </row>
    <row r="24" spans="1:22" x14ac:dyDescent="0.3">
      <c r="A24" s="221"/>
      <c r="B24" s="100" t="s">
        <v>225</v>
      </c>
      <c r="C24" s="103"/>
      <c r="D24" s="102">
        <v>0</v>
      </c>
      <c r="E24" s="102">
        <v>0.46</v>
      </c>
      <c r="F24" s="102">
        <v>0.89</v>
      </c>
      <c r="G24" s="102">
        <v>1.34</v>
      </c>
      <c r="H24" s="102">
        <v>1.78</v>
      </c>
      <c r="I24" s="102">
        <v>2.2400000000000002</v>
      </c>
    </row>
    <row r="25" spans="1:22" x14ac:dyDescent="0.3">
      <c r="A25" s="221"/>
      <c r="B25" s="100" t="s">
        <v>209</v>
      </c>
      <c r="C25" s="104"/>
      <c r="D25" s="105">
        <f t="shared" ref="D25:I25" si="4">D23-D24</f>
        <v>39.665500000000002</v>
      </c>
      <c r="E25" s="105">
        <f t="shared" si="4"/>
        <v>38.412190000000002</v>
      </c>
      <c r="F25" s="105">
        <f t="shared" si="4"/>
        <v>37.204746200000002</v>
      </c>
      <c r="G25" s="105">
        <f t="shared" si="4"/>
        <v>35.992851275999996</v>
      </c>
      <c r="H25" s="105">
        <f t="shared" si="4"/>
        <v>34.806194250479997</v>
      </c>
      <c r="I25" s="105">
        <f t="shared" si="4"/>
        <v>33.614470365470396</v>
      </c>
    </row>
  </sheetData>
  <mergeCells count="5">
    <mergeCell ref="A4:A10"/>
    <mergeCell ref="A12:A18"/>
    <mergeCell ref="A21:A25"/>
    <mergeCell ref="B21:B22"/>
    <mergeCell ref="D21:I21"/>
  </mergeCells>
  <pageMargins left="0.7" right="0.7" top="0.75" bottom="0.75" header="0.3" footer="0.3"/>
  <ignoredErrors>
    <ignoredError sqref="V4 V8:V14 V5:V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863B6-1A19-4187-9E7F-8C07AF2643E4}">
  <dimension ref="A1:AB24"/>
  <sheetViews>
    <sheetView showGridLines="0" zoomScale="85" zoomScaleNormal="85" workbookViewId="0"/>
  </sheetViews>
  <sheetFormatPr defaultRowHeight="14.4" x14ac:dyDescent="0.3"/>
  <cols>
    <col min="1" max="1" width="26.44140625" customWidth="1"/>
    <col min="2" max="2" width="30.5546875" bestFit="1" customWidth="1"/>
    <col min="3" max="3" width="10.6640625" style="95" customWidth="1"/>
    <col min="4" max="4" width="11.5546875" style="95" customWidth="1"/>
    <col min="5" max="21" width="10.6640625" style="95" customWidth="1"/>
    <col min="22" max="28" width="11.5546875" customWidth="1"/>
  </cols>
  <sheetData>
    <row r="1" spans="1:28" x14ac:dyDescent="0.3">
      <c r="A1" s="177" t="s">
        <v>235</v>
      </c>
    </row>
    <row r="2" spans="1:28" x14ac:dyDescent="0.3">
      <c r="A2" s="177"/>
    </row>
    <row r="3" spans="1:28" x14ac:dyDescent="0.3">
      <c r="A3" s="84"/>
      <c r="B3" s="85" t="s">
        <v>170</v>
      </c>
      <c r="C3" s="85" t="s">
        <v>171</v>
      </c>
      <c r="D3" s="85" t="s">
        <v>172</v>
      </c>
      <c r="E3" s="85" t="s">
        <v>173</v>
      </c>
      <c r="F3" s="85" t="s">
        <v>174</v>
      </c>
      <c r="G3" s="85" t="s">
        <v>175</v>
      </c>
      <c r="H3" s="85" t="s">
        <v>176</v>
      </c>
      <c r="I3" s="85" t="s">
        <v>177</v>
      </c>
      <c r="J3" s="85" t="s">
        <v>178</v>
      </c>
      <c r="K3" s="85" t="s">
        <v>179</v>
      </c>
      <c r="L3" s="85" t="s">
        <v>180</v>
      </c>
      <c r="M3" s="85" t="s">
        <v>181</v>
      </c>
      <c r="N3" s="85" t="s">
        <v>182</v>
      </c>
      <c r="O3" s="85" t="s">
        <v>183</v>
      </c>
      <c r="P3" s="85" t="s">
        <v>184</v>
      </c>
      <c r="Q3" s="85" t="s">
        <v>185</v>
      </c>
      <c r="R3" s="85" t="s">
        <v>186</v>
      </c>
      <c r="S3" s="85" t="s">
        <v>187</v>
      </c>
      <c r="T3" s="86" t="s">
        <v>188</v>
      </c>
      <c r="U3" s="87" t="s">
        <v>189</v>
      </c>
      <c r="V3" s="87" t="s">
        <v>202</v>
      </c>
      <c r="W3" s="87" t="s">
        <v>203</v>
      </c>
      <c r="X3" s="87" t="s">
        <v>204</v>
      </c>
      <c r="Y3" s="87" t="s">
        <v>205</v>
      </c>
      <c r="Z3" s="87" t="s">
        <v>206</v>
      </c>
      <c r="AA3" s="87" t="s">
        <v>207</v>
      </c>
      <c r="AB3" s="87" t="s">
        <v>208</v>
      </c>
    </row>
    <row r="4" spans="1:28" x14ac:dyDescent="0.3">
      <c r="A4" s="216" t="s">
        <v>191</v>
      </c>
      <c r="B4" s="88" t="s">
        <v>192</v>
      </c>
      <c r="C4" s="90">
        <v>4.5999999999999996</v>
      </c>
      <c r="D4" s="90">
        <v>4.8</v>
      </c>
      <c r="E4" s="90">
        <v>5.3</v>
      </c>
      <c r="F4" s="90">
        <v>5</v>
      </c>
      <c r="G4" s="90">
        <v>4.2</v>
      </c>
      <c r="H4" s="91">
        <v>4.2</v>
      </c>
      <c r="I4" s="91">
        <v>3.6</v>
      </c>
      <c r="J4" s="91">
        <v>3.1</v>
      </c>
      <c r="K4" s="91">
        <v>2.7</v>
      </c>
      <c r="L4" s="91">
        <v>4.0999999999999996</v>
      </c>
      <c r="M4" s="91">
        <v>4</v>
      </c>
      <c r="N4" s="91">
        <v>3.6</v>
      </c>
      <c r="O4" s="91">
        <v>3.7</v>
      </c>
      <c r="P4" s="91">
        <v>3.7</v>
      </c>
      <c r="Q4" s="91">
        <v>3.4</v>
      </c>
      <c r="R4" s="91">
        <v>3.5</v>
      </c>
      <c r="S4" s="91">
        <v>3.2</v>
      </c>
      <c r="T4" s="92">
        <v>3</v>
      </c>
      <c r="U4" s="93">
        <v>3.5</v>
      </c>
      <c r="V4" s="93"/>
      <c r="W4" s="93"/>
      <c r="X4" s="93"/>
      <c r="Y4" s="93"/>
      <c r="Z4" s="93"/>
      <c r="AA4" s="93"/>
      <c r="AB4" s="93"/>
    </row>
    <row r="5" spans="1:28" x14ac:dyDescent="0.3">
      <c r="A5" s="217"/>
      <c r="B5" s="88" t="s">
        <v>193</v>
      </c>
      <c r="C5" s="90">
        <v>59.9</v>
      </c>
      <c r="D5" s="90">
        <v>66</v>
      </c>
      <c r="E5" s="90">
        <v>57.5</v>
      </c>
      <c r="F5" s="90">
        <v>49.1</v>
      </c>
      <c r="G5" s="90">
        <v>51.5</v>
      </c>
      <c r="H5" s="91">
        <v>54.4</v>
      </c>
      <c r="I5" s="91">
        <v>47.8</v>
      </c>
      <c r="J5" s="91">
        <v>42.5</v>
      </c>
      <c r="K5" s="91">
        <v>46.9</v>
      </c>
      <c r="L5" s="91">
        <v>48.2</v>
      </c>
      <c r="M5" s="91">
        <v>46</v>
      </c>
      <c r="N5" s="91">
        <v>43</v>
      </c>
      <c r="O5" s="91">
        <v>53.2</v>
      </c>
      <c r="P5" s="91">
        <v>50.3</v>
      </c>
      <c r="Q5" s="91">
        <v>39.799999999999997</v>
      </c>
      <c r="R5" s="91">
        <v>37.5</v>
      </c>
      <c r="S5" s="91">
        <v>44.5</v>
      </c>
      <c r="T5" s="92">
        <v>44.5</v>
      </c>
      <c r="U5" s="93">
        <v>41</v>
      </c>
      <c r="V5" s="93"/>
      <c r="W5" s="93"/>
      <c r="X5" s="93"/>
      <c r="Y5" s="93"/>
      <c r="Z5" s="93"/>
      <c r="AA5" s="93"/>
      <c r="AB5" s="93"/>
    </row>
    <row r="6" spans="1:28" x14ac:dyDescent="0.3">
      <c r="A6" s="217"/>
      <c r="B6" s="88" t="s">
        <v>194</v>
      </c>
      <c r="C6" s="90">
        <v>21.2</v>
      </c>
      <c r="D6" s="90">
        <v>15.7</v>
      </c>
      <c r="E6" s="90">
        <v>14.7</v>
      </c>
      <c r="F6" s="90">
        <v>7</v>
      </c>
      <c r="G6" s="90">
        <v>13.1</v>
      </c>
      <c r="H6" s="91">
        <v>18.7</v>
      </c>
      <c r="I6" s="91">
        <v>12.6</v>
      </c>
      <c r="J6" s="91">
        <v>13.8</v>
      </c>
      <c r="K6" s="91">
        <v>13.6</v>
      </c>
      <c r="L6" s="91">
        <v>21.2</v>
      </c>
      <c r="M6" s="91">
        <v>12.6</v>
      </c>
      <c r="N6" s="91">
        <v>15.4</v>
      </c>
      <c r="O6" s="91">
        <v>13.8</v>
      </c>
      <c r="P6" s="91">
        <v>14.4</v>
      </c>
      <c r="Q6" s="91">
        <v>12.1</v>
      </c>
      <c r="R6" s="91">
        <v>16.100000000000001</v>
      </c>
      <c r="S6" s="91">
        <v>11.8</v>
      </c>
      <c r="T6" s="92">
        <v>4.5</v>
      </c>
      <c r="U6" s="93">
        <v>9.9</v>
      </c>
      <c r="V6" s="93"/>
      <c r="W6" s="93"/>
      <c r="X6" s="93"/>
      <c r="Y6" s="93"/>
      <c r="Z6" s="93"/>
      <c r="AA6" s="93"/>
      <c r="AB6" s="93"/>
    </row>
    <row r="7" spans="1:28" x14ac:dyDescent="0.3">
      <c r="A7" s="217"/>
      <c r="B7" s="89" t="s">
        <v>195</v>
      </c>
      <c r="C7" s="94">
        <f>SUM(C4:C6)</f>
        <v>85.7</v>
      </c>
      <c r="D7" s="94">
        <f t="shared" ref="D7:U7" si="0">SUM(D4:D6)</f>
        <v>86.5</v>
      </c>
      <c r="E7" s="94">
        <f t="shared" si="0"/>
        <v>77.5</v>
      </c>
      <c r="F7" s="94">
        <f t="shared" si="0"/>
        <v>61.1</v>
      </c>
      <c r="G7" s="94">
        <f t="shared" si="0"/>
        <v>68.8</v>
      </c>
      <c r="H7" s="94">
        <f t="shared" si="0"/>
        <v>77.3</v>
      </c>
      <c r="I7" s="94">
        <f t="shared" si="0"/>
        <v>64</v>
      </c>
      <c r="J7" s="94">
        <f t="shared" si="0"/>
        <v>59.400000000000006</v>
      </c>
      <c r="K7" s="94">
        <f t="shared" si="0"/>
        <v>63.2</v>
      </c>
      <c r="L7" s="94">
        <f t="shared" si="0"/>
        <v>73.5</v>
      </c>
      <c r="M7" s="94">
        <f t="shared" si="0"/>
        <v>62.6</v>
      </c>
      <c r="N7" s="94">
        <f t="shared" si="0"/>
        <v>62</v>
      </c>
      <c r="O7" s="94">
        <f t="shared" si="0"/>
        <v>70.7</v>
      </c>
      <c r="P7" s="94">
        <f t="shared" si="0"/>
        <v>68.400000000000006</v>
      </c>
      <c r="Q7" s="94">
        <f t="shared" si="0"/>
        <v>55.3</v>
      </c>
      <c r="R7" s="94">
        <f t="shared" si="0"/>
        <v>57.1</v>
      </c>
      <c r="S7" s="94">
        <f t="shared" si="0"/>
        <v>59.5</v>
      </c>
      <c r="T7" s="98">
        <f t="shared" si="0"/>
        <v>52</v>
      </c>
      <c r="U7" s="114">
        <f t="shared" si="0"/>
        <v>54.4</v>
      </c>
      <c r="V7" s="114"/>
      <c r="W7" s="114"/>
      <c r="X7" s="114"/>
      <c r="Y7" s="114"/>
      <c r="Z7" s="114"/>
      <c r="AA7" s="114"/>
      <c r="AB7" s="114"/>
    </row>
    <row r="8" spans="1:28" x14ac:dyDescent="0.3">
      <c r="A8" s="217"/>
      <c r="B8" s="88" t="s">
        <v>196</v>
      </c>
      <c r="C8" s="90">
        <v>16</v>
      </c>
      <c r="D8" s="90">
        <v>16.5</v>
      </c>
      <c r="E8" s="90">
        <v>19.899999999999999</v>
      </c>
      <c r="F8" s="90">
        <v>19.600000000000001</v>
      </c>
      <c r="G8" s="90">
        <v>16.600000000000001</v>
      </c>
      <c r="H8" s="91">
        <v>18.399999999999999</v>
      </c>
      <c r="I8" s="91">
        <v>18.100000000000001</v>
      </c>
      <c r="J8" s="91">
        <v>16.2</v>
      </c>
      <c r="K8" s="91">
        <v>13.6</v>
      </c>
      <c r="L8" s="91">
        <v>14.8</v>
      </c>
      <c r="M8" s="91">
        <v>18.899999999999999</v>
      </c>
      <c r="N8" s="91">
        <v>17.3</v>
      </c>
      <c r="O8" s="91">
        <v>15.3</v>
      </c>
      <c r="P8" s="91">
        <v>11.7</v>
      </c>
      <c r="Q8" s="91">
        <v>13.8</v>
      </c>
      <c r="R8" s="91">
        <v>10.8</v>
      </c>
      <c r="S8" s="91">
        <v>10.6</v>
      </c>
      <c r="T8" s="92">
        <v>14.1</v>
      </c>
      <c r="U8" s="93">
        <v>10.9</v>
      </c>
      <c r="V8" s="93"/>
      <c r="W8" s="93"/>
      <c r="X8" s="93"/>
      <c r="Y8" s="93"/>
      <c r="Z8" s="93"/>
      <c r="AA8" s="93"/>
      <c r="AB8" s="93"/>
    </row>
    <row r="9" spans="1:28" x14ac:dyDescent="0.3">
      <c r="A9" s="217"/>
      <c r="B9" s="88" t="s">
        <v>197</v>
      </c>
      <c r="C9" s="91"/>
      <c r="D9" s="91"/>
      <c r="E9" s="91"/>
      <c r="F9" s="91"/>
      <c r="G9" s="91"/>
      <c r="H9" s="91">
        <v>0</v>
      </c>
      <c r="I9" s="91">
        <v>5.6</v>
      </c>
      <c r="J9" s="91">
        <v>5.5</v>
      </c>
      <c r="K9" s="91">
        <v>2.2000000000000002</v>
      </c>
      <c r="L9" s="91">
        <v>0.3</v>
      </c>
      <c r="M9" s="91">
        <v>26</v>
      </c>
      <c r="N9" s="91">
        <v>13.3</v>
      </c>
      <c r="O9" s="91">
        <v>4</v>
      </c>
      <c r="P9" s="91"/>
      <c r="Q9" s="91">
        <v>0</v>
      </c>
      <c r="R9" s="91">
        <v>2.2000000000000002</v>
      </c>
      <c r="S9" s="91">
        <v>0</v>
      </c>
      <c r="T9" s="92">
        <v>6.5</v>
      </c>
      <c r="U9" s="93">
        <v>4.3</v>
      </c>
      <c r="V9" s="93"/>
      <c r="W9" s="93"/>
      <c r="X9" s="93"/>
      <c r="Y9" s="93"/>
      <c r="Z9" s="93"/>
      <c r="AA9" s="93"/>
      <c r="AB9" s="93"/>
    </row>
    <row r="10" spans="1:28" x14ac:dyDescent="0.3">
      <c r="A10" s="218"/>
      <c r="B10" s="88" t="s">
        <v>198</v>
      </c>
      <c r="C10" s="91"/>
      <c r="D10" s="91"/>
      <c r="E10" s="91"/>
      <c r="F10" s="91"/>
      <c r="G10" s="91"/>
      <c r="H10" s="91">
        <v>95.7</v>
      </c>
      <c r="I10" s="91">
        <v>87.7</v>
      </c>
      <c r="J10" s="91">
        <v>81.099999999999994</v>
      </c>
      <c r="K10" s="91">
        <v>79</v>
      </c>
      <c r="L10" s="91">
        <v>88.6</v>
      </c>
      <c r="M10" s="91">
        <v>107.5</v>
      </c>
      <c r="N10" s="91">
        <v>92.4</v>
      </c>
      <c r="O10" s="91">
        <v>89.9</v>
      </c>
      <c r="P10" s="91">
        <v>88.5</v>
      </c>
      <c r="Q10" s="91">
        <v>69.099999999999994</v>
      </c>
      <c r="R10" s="91">
        <v>79.2</v>
      </c>
      <c r="S10" s="91">
        <v>72.5</v>
      </c>
      <c r="T10" s="92">
        <v>52.7</v>
      </c>
      <c r="U10" s="93">
        <v>69.7</v>
      </c>
      <c r="V10" s="93"/>
      <c r="W10" s="93"/>
      <c r="X10" s="93"/>
      <c r="Y10" s="93"/>
      <c r="Z10" s="93"/>
      <c r="AA10" s="93"/>
      <c r="AB10" s="93"/>
    </row>
    <row r="11" spans="1:28" x14ac:dyDescent="0.3">
      <c r="A11" s="84"/>
      <c r="B11" s="84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2"/>
      <c r="U11" s="93"/>
      <c r="V11" s="93"/>
      <c r="W11" s="93"/>
      <c r="X11" s="93"/>
      <c r="Y11" s="93"/>
      <c r="Z11" s="93"/>
      <c r="AA11" s="93"/>
      <c r="AB11" s="93"/>
    </row>
    <row r="12" spans="1:28" x14ac:dyDescent="0.3">
      <c r="A12" s="219" t="s">
        <v>199</v>
      </c>
      <c r="B12" s="88" t="s">
        <v>192</v>
      </c>
      <c r="C12" s="90">
        <v>10.6</v>
      </c>
      <c r="D12" s="90">
        <v>11.5</v>
      </c>
      <c r="E12" s="90">
        <v>11.5</v>
      </c>
      <c r="F12" s="90">
        <v>10.4</v>
      </c>
      <c r="G12" s="90">
        <v>8</v>
      </c>
      <c r="H12" s="91">
        <v>7.9</v>
      </c>
      <c r="I12" s="91">
        <v>7.5</v>
      </c>
      <c r="J12" s="91">
        <v>6.4</v>
      </c>
      <c r="K12" s="91">
        <v>6</v>
      </c>
      <c r="L12" s="91">
        <v>9.1</v>
      </c>
      <c r="M12" s="91">
        <v>8.6999999999999993</v>
      </c>
      <c r="N12" s="91">
        <v>6.9</v>
      </c>
      <c r="O12" s="91">
        <v>7.3</v>
      </c>
      <c r="P12" s="91">
        <v>6.3</v>
      </c>
      <c r="Q12" s="91">
        <v>5.8</v>
      </c>
      <c r="R12" s="91">
        <v>6.1</v>
      </c>
      <c r="S12" s="91">
        <v>6.1</v>
      </c>
      <c r="T12" s="92">
        <v>6.1</v>
      </c>
      <c r="U12" s="93">
        <v>6.7</v>
      </c>
      <c r="V12" s="93"/>
      <c r="W12" s="93"/>
      <c r="X12" s="93"/>
      <c r="Y12" s="93"/>
      <c r="Z12" s="93"/>
      <c r="AA12" s="93"/>
      <c r="AB12" s="93"/>
    </row>
    <row r="13" spans="1:28" x14ac:dyDescent="0.3">
      <c r="A13" s="219"/>
      <c r="B13" s="88" t="s">
        <v>193</v>
      </c>
      <c r="C13" s="90">
        <v>57.7</v>
      </c>
      <c r="D13" s="90">
        <v>66.8</v>
      </c>
      <c r="E13" s="90">
        <v>60.6</v>
      </c>
      <c r="F13" s="90">
        <v>48.6</v>
      </c>
      <c r="G13" s="90">
        <v>48.1</v>
      </c>
      <c r="H13" s="91">
        <v>50</v>
      </c>
      <c r="I13" s="91">
        <v>42</v>
      </c>
      <c r="J13" s="91">
        <v>41.8</v>
      </c>
      <c r="K13" s="91">
        <v>43.5</v>
      </c>
      <c r="L13" s="91">
        <v>48.5</v>
      </c>
      <c r="M13" s="91">
        <v>49.8</v>
      </c>
      <c r="N13" s="91">
        <v>42</v>
      </c>
      <c r="O13" s="91">
        <v>42.9</v>
      </c>
      <c r="P13" s="91">
        <v>37.6</v>
      </c>
      <c r="Q13" s="91">
        <v>28.7</v>
      </c>
      <c r="R13" s="91">
        <v>27.6</v>
      </c>
      <c r="S13" s="91">
        <v>35.799999999999997</v>
      </c>
      <c r="T13" s="92">
        <v>27.6</v>
      </c>
      <c r="U13" s="93">
        <v>33.1</v>
      </c>
      <c r="V13" s="93"/>
      <c r="W13" s="93"/>
      <c r="X13" s="93"/>
      <c r="Y13" s="93"/>
      <c r="Z13" s="93"/>
      <c r="AA13" s="93"/>
      <c r="AB13" s="93"/>
    </row>
    <row r="14" spans="1:28" x14ac:dyDescent="0.3">
      <c r="A14" s="219"/>
      <c r="B14" s="88" t="s">
        <v>194</v>
      </c>
      <c r="C14" s="90">
        <v>5.5</v>
      </c>
      <c r="D14" s="90">
        <v>4.5999999999999996</v>
      </c>
      <c r="E14" s="90">
        <v>7.5</v>
      </c>
      <c r="F14" s="90">
        <v>3.2</v>
      </c>
      <c r="G14" s="90">
        <v>3</v>
      </c>
      <c r="H14" s="91">
        <v>8.4</v>
      </c>
      <c r="I14" s="91">
        <v>3.6</v>
      </c>
      <c r="J14" s="91">
        <v>4.9000000000000004</v>
      </c>
      <c r="K14" s="91">
        <v>3</v>
      </c>
      <c r="L14" s="91">
        <v>6.5</v>
      </c>
      <c r="M14" s="91">
        <v>3.9</v>
      </c>
      <c r="N14" s="91">
        <v>6.5</v>
      </c>
      <c r="O14" s="91">
        <v>4.8</v>
      </c>
      <c r="P14" s="91">
        <v>4.7</v>
      </c>
      <c r="Q14" s="91">
        <v>3.6</v>
      </c>
      <c r="R14" s="91">
        <v>4.8</v>
      </c>
      <c r="S14" s="91">
        <v>3.1</v>
      </c>
      <c r="T14" s="92">
        <v>1.8</v>
      </c>
      <c r="U14" s="93">
        <v>3.1</v>
      </c>
      <c r="V14" s="93"/>
      <c r="W14" s="93"/>
      <c r="X14" s="93"/>
      <c r="Y14" s="93"/>
      <c r="Z14" s="93"/>
      <c r="AA14" s="93"/>
      <c r="AB14" s="93"/>
    </row>
    <row r="15" spans="1:28" x14ac:dyDescent="0.3">
      <c r="A15" s="219"/>
      <c r="B15" s="106" t="s">
        <v>195</v>
      </c>
      <c r="C15" s="107">
        <f>SUM(C12:C14)</f>
        <v>73.8</v>
      </c>
      <c r="D15" s="107">
        <f t="shared" ref="D15:U15" si="1">SUM(D12:D14)</f>
        <v>82.899999999999991</v>
      </c>
      <c r="E15" s="107">
        <f t="shared" si="1"/>
        <v>79.599999999999994</v>
      </c>
      <c r="F15" s="107">
        <f t="shared" si="1"/>
        <v>62.2</v>
      </c>
      <c r="G15" s="107">
        <f t="shared" si="1"/>
        <v>59.1</v>
      </c>
      <c r="H15" s="107">
        <f t="shared" si="1"/>
        <v>66.3</v>
      </c>
      <c r="I15" s="107">
        <f t="shared" si="1"/>
        <v>53.1</v>
      </c>
      <c r="J15" s="107">
        <f t="shared" si="1"/>
        <v>53.099999999999994</v>
      </c>
      <c r="K15" s="107">
        <f t="shared" si="1"/>
        <v>52.5</v>
      </c>
      <c r="L15" s="107">
        <f t="shared" si="1"/>
        <v>64.099999999999994</v>
      </c>
      <c r="M15" s="107">
        <f t="shared" si="1"/>
        <v>62.4</v>
      </c>
      <c r="N15" s="107">
        <f t="shared" si="1"/>
        <v>55.4</v>
      </c>
      <c r="O15" s="107">
        <f t="shared" si="1"/>
        <v>54.999999999999993</v>
      </c>
      <c r="P15" s="107">
        <f t="shared" si="1"/>
        <v>48.6</v>
      </c>
      <c r="Q15" s="107">
        <f t="shared" si="1"/>
        <v>38.1</v>
      </c>
      <c r="R15" s="108">
        <f t="shared" si="1"/>
        <v>38.5</v>
      </c>
      <c r="S15" s="108">
        <f t="shared" si="1"/>
        <v>45</v>
      </c>
      <c r="T15" s="109">
        <f t="shared" si="1"/>
        <v>35.5</v>
      </c>
      <c r="U15" s="115">
        <f t="shared" si="1"/>
        <v>42.900000000000006</v>
      </c>
      <c r="V15" s="115"/>
      <c r="W15" s="115"/>
      <c r="X15" s="115"/>
      <c r="Y15" s="115"/>
      <c r="Z15" s="115"/>
      <c r="AA15" s="115"/>
      <c r="AB15" s="115"/>
    </row>
    <row r="16" spans="1:28" x14ac:dyDescent="0.3">
      <c r="A16" s="219"/>
      <c r="B16" s="116" t="s">
        <v>196</v>
      </c>
      <c r="C16" s="117">
        <v>46.8</v>
      </c>
      <c r="D16" s="117">
        <v>50.1</v>
      </c>
      <c r="E16" s="117">
        <v>64.8</v>
      </c>
      <c r="F16" s="117">
        <v>63.2</v>
      </c>
      <c r="G16" s="117">
        <v>51.8</v>
      </c>
      <c r="H16" s="118">
        <v>58.7</v>
      </c>
      <c r="I16" s="118">
        <v>59.2</v>
      </c>
      <c r="J16" s="118">
        <v>54.5</v>
      </c>
      <c r="K16" s="118">
        <v>47.6</v>
      </c>
      <c r="L16" s="118">
        <v>52.3</v>
      </c>
      <c r="M16" s="118">
        <v>70.2</v>
      </c>
      <c r="N16" s="118">
        <v>64.8</v>
      </c>
      <c r="O16" s="118">
        <v>56.1</v>
      </c>
      <c r="P16" s="118">
        <v>41.6</v>
      </c>
      <c r="Q16" s="118">
        <v>43.5</v>
      </c>
      <c r="R16" s="118">
        <v>32.9</v>
      </c>
      <c r="S16" s="118">
        <v>36.9</v>
      </c>
      <c r="T16" s="119">
        <v>37.700000000000003</v>
      </c>
      <c r="U16" s="120">
        <v>38.6</v>
      </c>
      <c r="V16" s="120">
        <f>Cover!E21</f>
        <v>0</v>
      </c>
      <c r="W16" s="120">
        <f>Cover!E22</f>
        <v>0</v>
      </c>
      <c r="X16" s="120">
        <f>Cover!E23</f>
        <v>0</v>
      </c>
      <c r="Y16" s="120">
        <f>Cover!E24</f>
        <v>0</v>
      </c>
      <c r="Z16" s="120">
        <f>Cover!E25</f>
        <v>0</v>
      </c>
      <c r="AA16" s="120">
        <f>Cover!E26</f>
        <v>0</v>
      </c>
      <c r="AB16" s="120">
        <f>Cover!E27</f>
        <v>0</v>
      </c>
    </row>
    <row r="17" spans="1:28" x14ac:dyDescent="0.3">
      <c r="A17" s="219"/>
      <c r="B17" s="88" t="s">
        <v>197</v>
      </c>
      <c r="C17" s="91"/>
      <c r="D17" s="91"/>
      <c r="E17" s="91"/>
      <c r="F17" s="91"/>
      <c r="G17" s="91"/>
      <c r="H17" s="91">
        <v>0</v>
      </c>
      <c r="I17" s="91">
        <v>3</v>
      </c>
      <c r="J17" s="91">
        <v>0.8</v>
      </c>
      <c r="K17" s="91">
        <v>0.2</v>
      </c>
      <c r="L17" s="91">
        <v>0</v>
      </c>
      <c r="M17" s="91">
        <v>5</v>
      </c>
      <c r="N17" s="91">
        <v>3.3</v>
      </c>
      <c r="O17" s="91">
        <v>2.5</v>
      </c>
      <c r="P17" s="91"/>
      <c r="Q17" s="91">
        <v>0</v>
      </c>
      <c r="R17" s="91">
        <v>1.6</v>
      </c>
      <c r="S17" s="91">
        <v>0</v>
      </c>
      <c r="T17" s="92">
        <v>0</v>
      </c>
      <c r="U17" s="93">
        <v>1</v>
      </c>
      <c r="V17" s="93"/>
      <c r="W17" s="93"/>
      <c r="X17" s="93"/>
      <c r="Y17" s="93"/>
      <c r="Z17" s="93"/>
      <c r="AA17" s="93"/>
      <c r="AB17" s="93"/>
    </row>
    <row r="18" spans="1:28" x14ac:dyDescent="0.3">
      <c r="A18" s="219"/>
      <c r="B18" s="88" t="s">
        <v>198</v>
      </c>
      <c r="C18" s="91"/>
      <c r="D18" s="91"/>
      <c r="E18" s="91"/>
      <c r="F18" s="91"/>
      <c r="G18" s="91"/>
      <c r="H18" s="91">
        <v>125</v>
      </c>
      <c r="I18" s="91">
        <v>115.3</v>
      </c>
      <c r="J18" s="91">
        <v>108.4</v>
      </c>
      <c r="K18" s="91">
        <v>100.3</v>
      </c>
      <c r="L18" s="91">
        <v>116.4</v>
      </c>
      <c r="M18" s="91">
        <v>137.6</v>
      </c>
      <c r="N18" s="91">
        <v>123.5</v>
      </c>
      <c r="O18" s="91">
        <v>113.6</v>
      </c>
      <c r="P18" s="91">
        <v>93</v>
      </c>
      <c r="Q18" s="91">
        <v>81.599999999999994</v>
      </c>
      <c r="R18" s="91">
        <v>79.2</v>
      </c>
      <c r="S18" s="91">
        <v>81.900000000000006</v>
      </c>
      <c r="T18" s="92">
        <v>73.3</v>
      </c>
      <c r="U18" s="93">
        <v>82.5</v>
      </c>
      <c r="V18" s="93"/>
      <c r="W18" s="93"/>
      <c r="X18" s="93"/>
      <c r="Y18" s="93"/>
      <c r="Z18" s="93"/>
      <c r="AA18" s="93"/>
      <c r="AB18" s="93"/>
    </row>
    <row r="21" spans="1:28" x14ac:dyDescent="0.3">
      <c r="A21" s="225" t="s">
        <v>230</v>
      </c>
      <c r="B21" s="226"/>
      <c r="C21" s="226"/>
      <c r="D21" s="226"/>
      <c r="E21" s="226"/>
      <c r="F21" s="226"/>
      <c r="G21" s="226"/>
      <c r="H21" s="226"/>
      <c r="I21" s="227"/>
      <c r="U21"/>
    </row>
    <row r="22" spans="1:28" x14ac:dyDescent="0.3">
      <c r="A22" s="223" t="s">
        <v>232</v>
      </c>
      <c r="B22" s="224" t="s">
        <v>200</v>
      </c>
      <c r="C22" s="110"/>
      <c r="D22" s="224" t="s">
        <v>201</v>
      </c>
      <c r="E22" s="224"/>
      <c r="F22" s="224"/>
      <c r="G22" s="224"/>
      <c r="H22" s="224"/>
      <c r="I22" s="224"/>
      <c r="U22"/>
    </row>
    <row r="23" spans="1:28" x14ac:dyDescent="0.3">
      <c r="A23" s="223"/>
      <c r="B23" s="224"/>
      <c r="C23" s="87" t="s">
        <v>202</v>
      </c>
      <c r="D23" s="87" t="s">
        <v>203</v>
      </c>
      <c r="E23" s="87" t="s">
        <v>204</v>
      </c>
      <c r="F23" s="87" t="s">
        <v>205</v>
      </c>
      <c r="G23" s="87" t="s">
        <v>206</v>
      </c>
      <c r="H23" s="87" t="s">
        <v>207</v>
      </c>
      <c r="I23" s="87" t="s">
        <v>208</v>
      </c>
      <c r="U23"/>
    </row>
    <row r="24" spans="1:28" x14ac:dyDescent="0.3">
      <c r="A24" s="223"/>
      <c r="B24" s="111" t="s">
        <v>231</v>
      </c>
      <c r="C24" s="112"/>
      <c r="D24" s="113">
        <f>AVERAGE(S16:U16)+5</f>
        <v>42.733333333333327</v>
      </c>
      <c r="E24" s="113">
        <f>AVERAGE(T16:V16)+5</f>
        <v>30.433333333333337</v>
      </c>
      <c r="F24" s="113">
        <f t="shared" ref="F24:H24" si="2">AVERAGE(U16:W16)+5</f>
        <v>17.866666666666667</v>
      </c>
      <c r="G24" s="113">
        <f t="shared" si="2"/>
        <v>5</v>
      </c>
      <c r="H24" s="113">
        <f t="shared" si="2"/>
        <v>5</v>
      </c>
      <c r="I24" s="113">
        <f>AVERAGE(X16:Z16)+5</f>
        <v>5</v>
      </c>
      <c r="U24"/>
    </row>
  </sheetData>
  <mergeCells count="6">
    <mergeCell ref="A22:A24"/>
    <mergeCell ref="B22:B23"/>
    <mergeCell ref="D22:I22"/>
    <mergeCell ref="A21:I21"/>
    <mergeCell ref="A4:A10"/>
    <mergeCell ref="A12:A18"/>
  </mergeCells>
  <phoneticPr fontId="12" type="noConversion"/>
  <pageMargins left="0.7" right="0.7" top="0.75" bottom="0.75" header="0.3" footer="0.3"/>
  <ignoredErrors>
    <ignoredError sqref="F24:H24 D24:E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8EB0-0FDD-4371-BFAF-F9378E0AAC98}">
  <dimension ref="A1:E20"/>
  <sheetViews>
    <sheetView showGridLines="0" zoomScale="85" zoomScaleNormal="85" workbookViewId="0"/>
  </sheetViews>
  <sheetFormatPr defaultRowHeight="14.4" x14ac:dyDescent="0.3"/>
  <cols>
    <col min="2" max="2" width="34.44140625" bestFit="1" customWidth="1"/>
    <col min="3" max="3" width="16.88671875" customWidth="1"/>
    <col min="4" max="4" width="20.77734375" customWidth="1"/>
    <col min="5" max="5" width="21" customWidth="1"/>
  </cols>
  <sheetData>
    <row r="1" spans="1:5" x14ac:dyDescent="0.3">
      <c r="A1" s="177" t="s">
        <v>96</v>
      </c>
      <c r="B1" s="55"/>
      <c r="C1" s="55"/>
      <c r="D1" s="55"/>
      <c r="E1" s="55"/>
    </row>
    <row r="2" spans="1:5" ht="15" thickBot="1" x14ac:dyDescent="0.35">
      <c r="A2" s="55"/>
      <c r="B2" s="55"/>
      <c r="C2" s="55"/>
      <c r="D2" s="55"/>
      <c r="E2" s="55"/>
    </row>
    <row r="3" spans="1:5" ht="15" thickBot="1" x14ac:dyDescent="0.35">
      <c r="A3" s="55"/>
      <c r="B3" s="56" t="s">
        <v>67</v>
      </c>
      <c r="C3" s="57" t="s">
        <v>68</v>
      </c>
      <c r="D3" s="58" t="s">
        <v>69</v>
      </c>
      <c r="E3" s="58" t="s">
        <v>70</v>
      </c>
    </row>
    <row r="4" spans="1:5" x14ac:dyDescent="0.3">
      <c r="A4" s="55"/>
      <c r="B4" s="59" t="s">
        <v>71</v>
      </c>
      <c r="C4" s="60">
        <v>8533695568</v>
      </c>
      <c r="D4" s="61" t="s">
        <v>72</v>
      </c>
      <c r="E4" s="61" t="s">
        <v>73</v>
      </c>
    </row>
    <row r="5" spans="1:5" x14ac:dyDescent="0.3">
      <c r="A5" s="55"/>
      <c r="B5" s="59" t="s">
        <v>74</v>
      </c>
      <c r="C5" s="60">
        <f>24*365</f>
        <v>8760</v>
      </c>
      <c r="D5" s="61" t="s">
        <v>75</v>
      </c>
      <c r="E5" s="61"/>
    </row>
    <row r="6" spans="1:5" x14ac:dyDescent="0.3">
      <c r="A6" s="55"/>
      <c r="B6" s="62" t="s">
        <v>76</v>
      </c>
      <c r="C6" s="63">
        <v>894977</v>
      </c>
      <c r="D6" s="64" t="s">
        <v>77</v>
      </c>
      <c r="E6" s="61" t="s">
        <v>73</v>
      </c>
    </row>
    <row r="7" spans="1:5" x14ac:dyDescent="0.3">
      <c r="A7" s="55"/>
      <c r="B7" s="59" t="s">
        <v>78</v>
      </c>
      <c r="C7" s="65">
        <v>950000</v>
      </c>
      <c r="D7" s="64" t="s">
        <v>77</v>
      </c>
      <c r="E7" s="61" t="s">
        <v>73</v>
      </c>
    </row>
    <row r="8" spans="1:5" x14ac:dyDescent="0.3">
      <c r="A8" s="55"/>
      <c r="B8" s="59" t="s">
        <v>79</v>
      </c>
      <c r="C8" s="66">
        <f>C4/C5/C6</f>
        <v>1.0884817830297244</v>
      </c>
      <c r="D8" s="61" t="s">
        <v>80</v>
      </c>
      <c r="E8" s="61" t="s">
        <v>81</v>
      </c>
    </row>
    <row r="9" spans="1:5" x14ac:dyDescent="0.3">
      <c r="A9" s="55"/>
      <c r="B9" s="59" t="s">
        <v>82</v>
      </c>
      <c r="C9" s="83">
        <f>(16464/'FX Rate'!B57)/1000</f>
        <v>14.033412887828163</v>
      </c>
      <c r="D9" s="61" t="s">
        <v>83</v>
      </c>
      <c r="E9" s="61" t="s">
        <v>81</v>
      </c>
    </row>
    <row r="10" spans="1:5" x14ac:dyDescent="0.3">
      <c r="A10" s="55"/>
      <c r="B10" s="59" t="s">
        <v>84</v>
      </c>
      <c r="C10" s="67">
        <f>C8*C9</f>
        <v>15.275114282135513</v>
      </c>
      <c r="D10" s="61" t="s">
        <v>83</v>
      </c>
      <c r="E10" s="61" t="s">
        <v>81</v>
      </c>
    </row>
    <row r="11" spans="1:5" x14ac:dyDescent="0.3">
      <c r="A11" s="55"/>
      <c r="B11" s="59" t="s">
        <v>85</v>
      </c>
      <c r="C11" s="68">
        <f>C10*C7</f>
        <v>14511358.568028739</v>
      </c>
      <c r="D11" s="61" t="s">
        <v>86</v>
      </c>
      <c r="E11" s="61" t="s">
        <v>81</v>
      </c>
    </row>
    <row r="12" spans="1:5" x14ac:dyDescent="0.3">
      <c r="A12" s="55"/>
      <c r="B12" s="59" t="s">
        <v>87</v>
      </c>
      <c r="C12" s="68">
        <f>C11/60</f>
        <v>241855.97613381231</v>
      </c>
      <c r="D12" s="61" t="s">
        <v>86</v>
      </c>
      <c r="E12" s="61" t="s">
        <v>81</v>
      </c>
    </row>
    <row r="13" spans="1:5" x14ac:dyDescent="0.3">
      <c r="A13" s="55"/>
      <c r="B13" s="59" t="s">
        <v>88</v>
      </c>
      <c r="C13" s="68">
        <f>C12*0.25</f>
        <v>60463.994033453077</v>
      </c>
      <c r="D13" s="61" t="s">
        <v>86</v>
      </c>
      <c r="E13" s="61" t="s">
        <v>81</v>
      </c>
    </row>
    <row r="14" spans="1:5" x14ac:dyDescent="0.3">
      <c r="A14" s="55"/>
      <c r="B14" s="62" t="s">
        <v>89</v>
      </c>
      <c r="C14" s="69">
        <f>2500000</f>
        <v>2500000</v>
      </c>
      <c r="D14" s="70" t="s">
        <v>90</v>
      </c>
      <c r="E14" s="61"/>
    </row>
    <row r="15" spans="1:5" x14ac:dyDescent="0.3">
      <c r="A15" s="55"/>
      <c r="B15" s="71" t="s">
        <v>91</v>
      </c>
      <c r="C15" s="69">
        <f>C14*0.8</f>
        <v>2000000</v>
      </c>
      <c r="D15" s="70" t="s">
        <v>90</v>
      </c>
      <c r="E15" s="61"/>
    </row>
    <row r="16" spans="1:5" x14ac:dyDescent="0.3">
      <c r="A16" s="55"/>
      <c r="B16" s="71" t="s">
        <v>92</v>
      </c>
      <c r="C16" s="69">
        <f>C14*0.2</f>
        <v>500000</v>
      </c>
      <c r="D16" s="70" t="s">
        <v>90</v>
      </c>
      <c r="E16" s="61"/>
    </row>
    <row r="17" spans="1:5" x14ac:dyDescent="0.3">
      <c r="A17" s="55"/>
      <c r="B17" s="72" t="s">
        <v>93</v>
      </c>
      <c r="C17" s="73"/>
      <c r="D17" s="74"/>
      <c r="E17" s="55"/>
    </row>
    <row r="18" spans="1:5" x14ac:dyDescent="0.3">
      <c r="A18" s="55"/>
      <c r="B18" s="62" t="s">
        <v>94</v>
      </c>
      <c r="C18" s="75">
        <f>C15/C12</f>
        <v>8.2693842507883897</v>
      </c>
      <c r="D18" s="76"/>
      <c r="E18" s="55"/>
    </row>
    <row r="19" spans="1:5" x14ac:dyDescent="0.3">
      <c r="A19" s="55"/>
      <c r="B19" s="77" t="s">
        <v>95</v>
      </c>
      <c r="C19" s="78"/>
      <c r="D19" s="55"/>
      <c r="E19" s="55"/>
    </row>
    <row r="20" spans="1:5" x14ac:dyDescent="0.3">
      <c r="A20" s="55"/>
      <c r="B20" s="62" t="s">
        <v>94</v>
      </c>
      <c r="C20" s="75">
        <f>C16/C13</f>
        <v>8.2693842507883897</v>
      </c>
      <c r="D20" s="55"/>
      <c r="E20" s="5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857E-7ADB-4A73-9B1B-0BA6B7ECBB79}">
  <dimension ref="A1:B850"/>
  <sheetViews>
    <sheetView topLeftCell="A49" workbookViewId="0"/>
  </sheetViews>
  <sheetFormatPr defaultRowHeight="13.2" x14ac:dyDescent="0.25"/>
  <cols>
    <col min="1" max="1" width="15.77734375" style="55" bestFit="1" customWidth="1"/>
    <col min="2" max="256" width="8.88671875" style="55"/>
    <col min="257" max="257" width="15.77734375" style="55" bestFit="1" customWidth="1"/>
    <col min="258" max="512" width="8.88671875" style="55"/>
    <col min="513" max="513" width="15.77734375" style="55" bestFit="1" customWidth="1"/>
    <col min="514" max="768" width="8.88671875" style="55"/>
    <col min="769" max="769" width="15.77734375" style="55" bestFit="1" customWidth="1"/>
    <col min="770" max="1024" width="8.88671875" style="55"/>
    <col min="1025" max="1025" width="15.77734375" style="55" bestFit="1" customWidth="1"/>
    <col min="1026" max="1280" width="8.88671875" style="55"/>
    <col min="1281" max="1281" width="15.77734375" style="55" bestFit="1" customWidth="1"/>
    <col min="1282" max="1536" width="8.88671875" style="55"/>
    <col min="1537" max="1537" width="15.77734375" style="55" bestFit="1" customWidth="1"/>
    <col min="1538" max="1792" width="8.88671875" style="55"/>
    <col min="1793" max="1793" width="15.77734375" style="55" bestFit="1" customWidth="1"/>
    <col min="1794" max="2048" width="8.88671875" style="55"/>
    <col min="2049" max="2049" width="15.77734375" style="55" bestFit="1" customWidth="1"/>
    <col min="2050" max="2304" width="8.88671875" style="55"/>
    <col min="2305" max="2305" width="15.77734375" style="55" bestFit="1" customWidth="1"/>
    <col min="2306" max="2560" width="8.88671875" style="55"/>
    <col min="2561" max="2561" width="15.77734375" style="55" bestFit="1" customWidth="1"/>
    <col min="2562" max="2816" width="8.88671875" style="55"/>
    <col min="2817" max="2817" width="15.77734375" style="55" bestFit="1" customWidth="1"/>
    <col min="2818" max="3072" width="8.88671875" style="55"/>
    <col min="3073" max="3073" width="15.77734375" style="55" bestFit="1" customWidth="1"/>
    <col min="3074" max="3328" width="8.88671875" style="55"/>
    <col min="3329" max="3329" width="15.77734375" style="55" bestFit="1" customWidth="1"/>
    <col min="3330" max="3584" width="8.88671875" style="55"/>
    <col min="3585" max="3585" width="15.77734375" style="55" bestFit="1" customWidth="1"/>
    <col min="3586" max="3840" width="8.88671875" style="55"/>
    <col min="3841" max="3841" width="15.77734375" style="55" bestFit="1" customWidth="1"/>
    <col min="3842" max="4096" width="8.88671875" style="55"/>
    <col min="4097" max="4097" width="15.77734375" style="55" bestFit="1" customWidth="1"/>
    <col min="4098" max="4352" width="8.88671875" style="55"/>
    <col min="4353" max="4353" width="15.77734375" style="55" bestFit="1" customWidth="1"/>
    <col min="4354" max="4608" width="8.88671875" style="55"/>
    <col min="4609" max="4609" width="15.77734375" style="55" bestFit="1" customWidth="1"/>
    <col min="4610" max="4864" width="8.88671875" style="55"/>
    <col min="4865" max="4865" width="15.77734375" style="55" bestFit="1" customWidth="1"/>
    <col min="4866" max="5120" width="8.88671875" style="55"/>
    <col min="5121" max="5121" width="15.77734375" style="55" bestFit="1" customWidth="1"/>
    <col min="5122" max="5376" width="8.88671875" style="55"/>
    <col min="5377" max="5377" width="15.77734375" style="55" bestFit="1" customWidth="1"/>
    <col min="5378" max="5632" width="8.88671875" style="55"/>
    <col min="5633" max="5633" width="15.77734375" style="55" bestFit="1" customWidth="1"/>
    <col min="5634" max="5888" width="8.88671875" style="55"/>
    <col min="5889" max="5889" width="15.77734375" style="55" bestFit="1" customWidth="1"/>
    <col min="5890" max="6144" width="8.88671875" style="55"/>
    <col min="6145" max="6145" width="15.77734375" style="55" bestFit="1" customWidth="1"/>
    <col min="6146" max="6400" width="8.88671875" style="55"/>
    <col min="6401" max="6401" width="15.77734375" style="55" bestFit="1" customWidth="1"/>
    <col min="6402" max="6656" width="8.88671875" style="55"/>
    <col min="6657" max="6657" width="15.77734375" style="55" bestFit="1" customWidth="1"/>
    <col min="6658" max="6912" width="8.88671875" style="55"/>
    <col min="6913" max="6913" width="15.77734375" style="55" bestFit="1" customWidth="1"/>
    <col min="6914" max="7168" width="8.88671875" style="55"/>
    <col min="7169" max="7169" width="15.77734375" style="55" bestFit="1" customWidth="1"/>
    <col min="7170" max="7424" width="8.88671875" style="55"/>
    <col min="7425" max="7425" width="15.77734375" style="55" bestFit="1" customWidth="1"/>
    <col min="7426" max="7680" width="8.88671875" style="55"/>
    <col min="7681" max="7681" width="15.77734375" style="55" bestFit="1" customWidth="1"/>
    <col min="7682" max="7936" width="8.88671875" style="55"/>
    <col min="7937" max="7937" width="15.77734375" style="55" bestFit="1" customWidth="1"/>
    <col min="7938" max="8192" width="8.88671875" style="55"/>
    <col min="8193" max="8193" width="15.77734375" style="55" bestFit="1" customWidth="1"/>
    <col min="8194" max="8448" width="8.88671875" style="55"/>
    <col min="8449" max="8449" width="15.77734375" style="55" bestFit="1" customWidth="1"/>
    <col min="8450" max="8704" width="8.88671875" style="55"/>
    <col min="8705" max="8705" width="15.77734375" style="55" bestFit="1" customWidth="1"/>
    <col min="8706" max="8960" width="8.88671875" style="55"/>
    <col min="8961" max="8961" width="15.77734375" style="55" bestFit="1" customWidth="1"/>
    <col min="8962" max="9216" width="8.88671875" style="55"/>
    <col min="9217" max="9217" width="15.77734375" style="55" bestFit="1" customWidth="1"/>
    <col min="9218" max="9472" width="8.88671875" style="55"/>
    <col min="9473" max="9473" width="15.77734375" style="55" bestFit="1" customWidth="1"/>
    <col min="9474" max="9728" width="8.88671875" style="55"/>
    <col min="9729" max="9729" width="15.77734375" style="55" bestFit="1" customWidth="1"/>
    <col min="9730" max="9984" width="8.88671875" style="55"/>
    <col min="9985" max="9985" width="15.77734375" style="55" bestFit="1" customWidth="1"/>
    <col min="9986" max="10240" width="8.88671875" style="55"/>
    <col min="10241" max="10241" width="15.77734375" style="55" bestFit="1" customWidth="1"/>
    <col min="10242" max="10496" width="8.88671875" style="55"/>
    <col min="10497" max="10497" width="15.77734375" style="55" bestFit="1" customWidth="1"/>
    <col min="10498" max="10752" width="8.88671875" style="55"/>
    <col min="10753" max="10753" width="15.77734375" style="55" bestFit="1" customWidth="1"/>
    <col min="10754" max="11008" width="8.88671875" style="55"/>
    <col min="11009" max="11009" width="15.77734375" style="55" bestFit="1" customWidth="1"/>
    <col min="11010" max="11264" width="8.88671875" style="55"/>
    <col min="11265" max="11265" width="15.77734375" style="55" bestFit="1" customWidth="1"/>
    <col min="11266" max="11520" width="8.88671875" style="55"/>
    <col min="11521" max="11521" width="15.77734375" style="55" bestFit="1" customWidth="1"/>
    <col min="11522" max="11776" width="8.88671875" style="55"/>
    <col min="11777" max="11777" width="15.77734375" style="55" bestFit="1" customWidth="1"/>
    <col min="11778" max="12032" width="8.88671875" style="55"/>
    <col min="12033" max="12033" width="15.77734375" style="55" bestFit="1" customWidth="1"/>
    <col min="12034" max="12288" width="8.88671875" style="55"/>
    <col min="12289" max="12289" width="15.77734375" style="55" bestFit="1" customWidth="1"/>
    <col min="12290" max="12544" width="8.88671875" style="55"/>
    <col min="12545" max="12545" width="15.77734375" style="55" bestFit="1" customWidth="1"/>
    <col min="12546" max="12800" width="8.88671875" style="55"/>
    <col min="12801" max="12801" width="15.77734375" style="55" bestFit="1" customWidth="1"/>
    <col min="12802" max="13056" width="8.88671875" style="55"/>
    <col min="13057" max="13057" width="15.77734375" style="55" bestFit="1" customWidth="1"/>
    <col min="13058" max="13312" width="8.88671875" style="55"/>
    <col min="13313" max="13313" width="15.77734375" style="55" bestFit="1" customWidth="1"/>
    <col min="13314" max="13568" width="8.88671875" style="55"/>
    <col min="13569" max="13569" width="15.77734375" style="55" bestFit="1" customWidth="1"/>
    <col min="13570" max="13824" width="8.88671875" style="55"/>
    <col min="13825" max="13825" width="15.77734375" style="55" bestFit="1" customWidth="1"/>
    <col min="13826" max="14080" width="8.88671875" style="55"/>
    <col min="14081" max="14081" width="15.77734375" style="55" bestFit="1" customWidth="1"/>
    <col min="14082" max="14336" width="8.88671875" style="55"/>
    <col min="14337" max="14337" width="15.77734375" style="55" bestFit="1" customWidth="1"/>
    <col min="14338" max="14592" width="8.88671875" style="55"/>
    <col min="14593" max="14593" width="15.77734375" style="55" bestFit="1" customWidth="1"/>
    <col min="14594" max="14848" width="8.88671875" style="55"/>
    <col min="14849" max="14849" width="15.77734375" style="55" bestFit="1" customWidth="1"/>
    <col min="14850" max="15104" width="8.88671875" style="55"/>
    <col min="15105" max="15105" width="15.77734375" style="55" bestFit="1" customWidth="1"/>
    <col min="15106" max="15360" width="8.88671875" style="55"/>
    <col min="15361" max="15361" width="15.77734375" style="55" bestFit="1" customWidth="1"/>
    <col min="15362" max="15616" width="8.88671875" style="55"/>
    <col min="15617" max="15617" width="15.77734375" style="55" bestFit="1" customWidth="1"/>
    <col min="15618" max="15872" width="8.88671875" style="55"/>
    <col min="15873" max="15873" width="15.77734375" style="55" bestFit="1" customWidth="1"/>
    <col min="15874" max="16128" width="8.88671875" style="55"/>
    <col min="16129" max="16129" width="15.77734375" style="55" bestFit="1" customWidth="1"/>
    <col min="16130" max="16384" width="8.88671875" style="55"/>
  </cols>
  <sheetData>
    <row r="1" spans="1:2" x14ac:dyDescent="0.25">
      <c r="A1" s="79" t="s">
        <v>97</v>
      </c>
    </row>
    <row r="2" spans="1:2" x14ac:dyDescent="0.25">
      <c r="A2" s="55" t="s">
        <v>98</v>
      </c>
      <c r="B2" s="55" t="s">
        <v>99</v>
      </c>
    </row>
    <row r="3" spans="1:2" x14ac:dyDescent="0.25">
      <c r="A3" s="55" t="s">
        <v>100</v>
      </c>
      <c r="B3" s="55" t="s">
        <v>101</v>
      </c>
    </row>
    <row r="4" spans="1:2" x14ac:dyDescent="0.25">
      <c r="A4" s="55" t="s">
        <v>102</v>
      </c>
      <c r="B4" s="55" t="s">
        <v>103</v>
      </c>
    </row>
    <row r="5" spans="1:2" x14ac:dyDescent="0.25">
      <c r="A5" s="55" t="s">
        <v>104</v>
      </c>
      <c r="B5" s="55" t="s">
        <v>105</v>
      </c>
    </row>
    <row r="6" spans="1:2" x14ac:dyDescent="0.25">
      <c r="A6" s="55" t="s">
        <v>106</v>
      </c>
      <c r="B6" s="55" t="s">
        <v>105</v>
      </c>
    </row>
    <row r="7" spans="1:2" x14ac:dyDescent="0.25">
      <c r="A7" s="55" t="s">
        <v>107</v>
      </c>
      <c r="B7" s="55" t="s">
        <v>108</v>
      </c>
    </row>
    <row r="8" spans="1:2" x14ac:dyDescent="0.25">
      <c r="A8" s="55" t="s">
        <v>109</v>
      </c>
      <c r="B8" s="55" t="s">
        <v>110</v>
      </c>
    </row>
    <row r="9" spans="1:2" x14ac:dyDescent="0.25">
      <c r="A9" s="55" t="s">
        <v>111</v>
      </c>
    </row>
    <row r="10" spans="1:2" x14ac:dyDescent="0.25">
      <c r="A10" s="55" t="s">
        <v>112</v>
      </c>
      <c r="B10" s="55" t="s">
        <v>105</v>
      </c>
    </row>
    <row r="11" spans="1:2" x14ac:dyDescent="0.25">
      <c r="A11" s="55" t="s">
        <v>113</v>
      </c>
      <c r="B11" s="55" t="s">
        <v>105</v>
      </c>
    </row>
    <row r="12" spans="1:2" x14ac:dyDescent="0.25">
      <c r="A12" s="55" t="s">
        <v>114</v>
      </c>
      <c r="B12" s="55" t="s">
        <v>105</v>
      </c>
    </row>
    <row r="13" spans="1:2" x14ac:dyDescent="0.25">
      <c r="A13" s="55" t="s">
        <v>115</v>
      </c>
      <c r="B13" s="55" t="s">
        <v>105</v>
      </c>
    </row>
    <row r="14" spans="1:2" x14ac:dyDescent="0.25">
      <c r="A14" s="55" t="s">
        <v>116</v>
      </c>
      <c r="B14" s="55" t="s">
        <v>105</v>
      </c>
    </row>
    <row r="15" spans="1:2" x14ac:dyDescent="0.25">
      <c r="A15" s="55" t="s">
        <v>117</v>
      </c>
      <c r="B15" s="55" t="s">
        <v>105</v>
      </c>
    </row>
    <row r="16" spans="1:2" x14ac:dyDescent="0.25">
      <c r="A16" s="55" t="s">
        <v>118</v>
      </c>
      <c r="B16" s="55" t="s">
        <v>105</v>
      </c>
    </row>
    <row r="17" spans="1:2" x14ac:dyDescent="0.25">
      <c r="A17" s="55" t="s">
        <v>119</v>
      </c>
      <c r="B17" s="55" t="s">
        <v>105</v>
      </c>
    </row>
    <row r="18" spans="1:2" x14ac:dyDescent="0.25">
      <c r="A18" s="55" t="s">
        <v>120</v>
      </c>
      <c r="B18" s="55" t="s">
        <v>105</v>
      </c>
    </row>
    <row r="19" spans="1:2" x14ac:dyDescent="0.25">
      <c r="A19" s="55" t="s">
        <v>121</v>
      </c>
      <c r="B19" s="55" t="s">
        <v>105</v>
      </c>
    </row>
    <row r="20" spans="1:2" x14ac:dyDescent="0.25">
      <c r="A20" s="55" t="s">
        <v>122</v>
      </c>
      <c r="B20" s="55" t="s">
        <v>105</v>
      </c>
    </row>
    <row r="21" spans="1:2" x14ac:dyDescent="0.25">
      <c r="A21" s="55" t="s">
        <v>123</v>
      </c>
      <c r="B21" s="55" t="s">
        <v>105</v>
      </c>
    </row>
    <row r="22" spans="1:2" x14ac:dyDescent="0.25">
      <c r="A22" s="55" t="s">
        <v>124</v>
      </c>
      <c r="B22" s="55" t="s">
        <v>105</v>
      </c>
    </row>
    <row r="23" spans="1:2" x14ac:dyDescent="0.25">
      <c r="A23" s="55" t="s">
        <v>125</v>
      </c>
      <c r="B23" s="55" t="s">
        <v>105</v>
      </c>
    </row>
    <row r="24" spans="1:2" x14ac:dyDescent="0.25">
      <c r="A24" s="55" t="s">
        <v>126</v>
      </c>
      <c r="B24" s="55" t="s">
        <v>105</v>
      </c>
    </row>
    <row r="25" spans="1:2" x14ac:dyDescent="0.25">
      <c r="A25" s="55" t="s">
        <v>127</v>
      </c>
      <c r="B25" s="55" t="s">
        <v>105</v>
      </c>
    </row>
    <row r="26" spans="1:2" x14ac:dyDescent="0.25">
      <c r="A26" s="55" t="s">
        <v>128</v>
      </c>
      <c r="B26" s="55" t="s">
        <v>105</v>
      </c>
    </row>
    <row r="27" spans="1:2" x14ac:dyDescent="0.25">
      <c r="A27" s="55" t="s">
        <v>129</v>
      </c>
      <c r="B27" s="55" t="s">
        <v>105</v>
      </c>
    </row>
    <row r="28" spans="1:2" x14ac:dyDescent="0.25">
      <c r="A28" s="55" t="s">
        <v>130</v>
      </c>
      <c r="B28" s="55" t="s">
        <v>105</v>
      </c>
    </row>
    <row r="29" spans="1:2" x14ac:dyDescent="0.25">
      <c r="A29" s="55" t="s">
        <v>131</v>
      </c>
      <c r="B29" s="55" t="s">
        <v>105</v>
      </c>
    </row>
    <row r="30" spans="1:2" x14ac:dyDescent="0.25">
      <c r="A30" s="55" t="s">
        <v>132</v>
      </c>
      <c r="B30" s="55" t="s">
        <v>105</v>
      </c>
    </row>
    <row r="31" spans="1:2" x14ac:dyDescent="0.25">
      <c r="A31" s="55" t="s">
        <v>133</v>
      </c>
      <c r="B31" s="55" t="s">
        <v>105</v>
      </c>
    </row>
    <row r="32" spans="1:2" x14ac:dyDescent="0.25">
      <c r="A32" s="55" t="s">
        <v>134</v>
      </c>
      <c r="B32" s="80">
        <v>1.4493</v>
      </c>
    </row>
    <row r="33" spans="1:2" x14ac:dyDescent="0.25">
      <c r="A33" s="55" t="s">
        <v>135</v>
      </c>
      <c r="B33" s="80">
        <v>1.4886999999999999</v>
      </c>
    </row>
    <row r="34" spans="1:2" x14ac:dyDescent="0.25">
      <c r="A34" s="55" t="s">
        <v>136</v>
      </c>
      <c r="B34" s="80">
        <v>1.5192000000000001</v>
      </c>
    </row>
    <row r="35" spans="1:2" x14ac:dyDescent="0.25">
      <c r="A35" s="55" t="s">
        <v>137</v>
      </c>
      <c r="B35" s="80">
        <v>1.6422000000000001</v>
      </c>
    </row>
    <row r="36" spans="1:2" x14ac:dyDescent="0.25">
      <c r="A36" s="55" t="s">
        <v>138</v>
      </c>
      <c r="B36" s="80">
        <v>1.6087</v>
      </c>
    </row>
    <row r="37" spans="1:2" x14ac:dyDescent="0.25">
      <c r="A37" s="55" t="s">
        <v>139</v>
      </c>
      <c r="B37" s="80">
        <v>1.5909</v>
      </c>
    </row>
    <row r="38" spans="1:2" x14ac:dyDescent="0.25">
      <c r="A38" s="55" t="s">
        <v>140</v>
      </c>
      <c r="B38" s="80">
        <v>1.4456</v>
      </c>
    </row>
    <row r="39" spans="1:2" x14ac:dyDescent="0.25">
      <c r="A39" s="55" t="s">
        <v>141</v>
      </c>
      <c r="B39" s="80">
        <v>1.4739</v>
      </c>
    </row>
    <row r="40" spans="1:2" x14ac:dyDescent="0.25">
      <c r="A40" s="55" t="s">
        <v>142</v>
      </c>
      <c r="B40" s="80">
        <v>1.4629000000000001</v>
      </c>
    </row>
    <row r="41" spans="1:2" x14ac:dyDescent="0.25">
      <c r="A41" s="55" t="s">
        <v>143</v>
      </c>
      <c r="B41" s="80">
        <v>1.4670000000000001</v>
      </c>
    </row>
    <row r="42" spans="1:2" x14ac:dyDescent="0.25">
      <c r="A42" s="55" t="s">
        <v>144</v>
      </c>
      <c r="B42" s="80">
        <v>1.4619</v>
      </c>
    </row>
    <row r="43" spans="1:2" x14ac:dyDescent="0.25">
      <c r="A43" s="55" t="s">
        <v>145</v>
      </c>
      <c r="B43" s="80">
        <v>1.2587999999999999</v>
      </c>
    </row>
    <row r="44" spans="1:2" x14ac:dyDescent="0.25">
      <c r="A44" s="55" t="s">
        <v>146</v>
      </c>
      <c r="B44" s="80">
        <v>1.1233</v>
      </c>
    </row>
    <row r="45" spans="1:2" x14ac:dyDescent="0.25">
      <c r="A45" s="55" t="s">
        <v>147</v>
      </c>
      <c r="B45" s="80">
        <v>1.1664000000000001</v>
      </c>
    </row>
    <row r="46" spans="1:2" x14ac:dyDescent="0.25">
      <c r="A46" s="55" t="s">
        <v>148</v>
      </c>
      <c r="B46" s="80">
        <v>1.1527000000000001</v>
      </c>
    </row>
    <row r="47" spans="1:2" x14ac:dyDescent="0.25">
      <c r="A47" s="55" t="s">
        <v>149</v>
      </c>
      <c r="B47" s="80">
        <v>1.2337</v>
      </c>
    </row>
    <row r="48" spans="1:2" x14ac:dyDescent="0.25">
      <c r="A48" s="55" t="s">
        <v>150</v>
      </c>
      <c r="B48" s="80">
        <v>1.1776</v>
      </c>
    </row>
    <row r="49" spans="1:2" x14ac:dyDescent="0.25">
      <c r="A49" s="55" t="s">
        <v>151</v>
      </c>
      <c r="B49" s="80">
        <v>1.2411000000000001</v>
      </c>
    </row>
    <row r="50" spans="1:2" x14ac:dyDescent="0.25">
      <c r="A50" s="55" t="s">
        <v>152</v>
      </c>
      <c r="B50" s="80">
        <v>1.3782000000000001</v>
      </c>
    </row>
    <row r="51" spans="1:2" x14ac:dyDescent="0.25">
      <c r="A51" s="55" t="s">
        <v>153</v>
      </c>
      <c r="B51" s="80">
        <v>1.2233000000000001</v>
      </c>
    </row>
    <row r="52" spans="1:2" x14ac:dyDescent="0.25">
      <c r="A52" s="55" t="s">
        <v>154</v>
      </c>
      <c r="B52" s="80">
        <v>1.1413</v>
      </c>
    </row>
    <row r="53" spans="1:2" x14ac:dyDescent="0.25">
      <c r="A53" s="55" t="s">
        <v>155</v>
      </c>
      <c r="B53" s="80">
        <v>1.1305000000000001</v>
      </c>
    </row>
    <row r="54" spans="1:2" x14ac:dyDescent="0.25">
      <c r="A54" s="55" t="s">
        <v>156</v>
      </c>
      <c r="B54" s="80">
        <v>1.1405000000000001</v>
      </c>
    </row>
    <row r="55" spans="1:2" x14ac:dyDescent="0.25">
      <c r="A55" s="55" t="s">
        <v>157</v>
      </c>
      <c r="B55" s="80">
        <v>1.125</v>
      </c>
    </row>
    <row r="56" spans="1:2" x14ac:dyDescent="0.25">
      <c r="A56" s="55" t="s">
        <v>158</v>
      </c>
      <c r="B56" s="80">
        <v>1.1633</v>
      </c>
    </row>
    <row r="57" spans="1:2" x14ac:dyDescent="0.25">
      <c r="A57" s="81" t="s">
        <v>159</v>
      </c>
      <c r="B57" s="82">
        <v>1.1732</v>
      </c>
    </row>
    <row r="58" spans="1:2" x14ac:dyDescent="0.25">
      <c r="A58" s="55" t="s">
        <v>160</v>
      </c>
      <c r="B58" s="80">
        <v>1.1499999999999999</v>
      </c>
    </row>
    <row r="147" spans="2:2" x14ac:dyDescent="0.25">
      <c r="B147" s="80"/>
    </row>
    <row r="148" spans="2:2" x14ac:dyDescent="0.25">
      <c r="B148" s="80"/>
    </row>
    <row r="149" spans="2:2" x14ac:dyDescent="0.25">
      <c r="B149" s="80"/>
    </row>
    <row r="150" spans="2:2" x14ac:dyDescent="0.25">
      <c r="B150" s="80"/>
    </row>
    <row r="151" spans="2:2" x14ac:dyDescent="0.25">
      <c r="B151" s="80"/>
    </row>
    <row r="152" spans="2:2" x14ac:dyDescent="0.25">
      <c r="B152" s="80"/>
    </row>
    <row r="153" spans="2:2" x14ac:dyDescent="0.25">
      <c r="B153" s="80"/>
    </row>
    <row r="154" spans="2:2" x14ac:dyDescent="0.25">
      <c r="B154" s="80"/>
    </row>
    <row r="155" spans="2:2" x14ac:dyDescent="0.25">
      <c r="B155" s="80"/>
    </row>
    <row r="156" spans="2:2" x14ac:dyDescent="0.25">
      <c r="B156" s="80"/>
    </row>
    <row r="157" spans="2:2" x14ac:dyDescent="0.25">
      <c r="B157" s="80"/>
    </row>
    <row r="158" spans="2:2" x14ac:dyDescent="0.25">
      <c r="B158" s="80"/>
    </row>
    <row r="159" spans="2:2" x14ac:dyDescent="0.25">
      <c r="B159" s="80"/>
    </row>
    <row r="160" spans="2:2" x14ac:dyDescent="0.25">
      <c r="B160" s="80"/>
    </row>
    <row r="161" spans="2:2" x14ac:dyDescent="0.25">
      <c r="B161" s="80"/>
    </row>
    <row r="162" spans="2:2" x14ac:dyDescent="0.25">
      <c r="B162" s="80"/>
    </row>
    <row r="163" spans="2:2" x14ac:dyDescent="0.25">
      <c r="B163" s="80"/>
    </row>
    <row r="164" spans="2:2" x14ac:dyDescent="0.25">
      <c r="B164" s="80"/>
    </row>
    <row r="165" spans="2:2" x14ac:dyDescent="0.25">
      <c r="B165" s="80"/>
    </row>
    <row r="166" spans="2:2" x14ac:dyDescent="0.25">
      <c r="B166" s="80"/>
    </row>
    <row r="167" spans="2:2" x14ac:dyDescent="0.25">
      <c r="B167" s="80"/>
    </row>
    <row r="168" spans="2:2" x14ac:dyDescent="0.25">
      <c r="B168" s="80"/>
    </row>
    <row r="169" spans="2:2" x14ac:dyDescent="0.25">
      <c r="B169" s="80"/>
    </row>
    <row r="170" spans="2:2" x14ac:dyDescent="0.25">
      <c r="B170" s="80"/>
    </row>
    <row r="171" spans="2:2" x14ac:dyDescent="0.25">
      <c r="B171" s="80"/>
    </row>
    <row r="172" spans="2:2" x14ac:dyDescent="0.25">
      <c r="B172" s="80"/>
    </row>
    <row r="173" spans="2:2" x14ac:dyDescent="0.25">
      <c r="B173" s="80"/>
    </row>
    <row r="174" spans="2:2" x14ac:dyDescent="0.25">
      <c r="B174" s="80"/>
    </row>
    <row r="175" spans="2:2" x14ac:dyDescent="0.25">
      <c r="B175" s="80"/>
    </row>
    <row r="176" spans="2:2" x14ac:dyDescent="0.25">
      <c r="B176" s="80"/>
    </row>
    <row r="177" spans="2:2" x14ac:dyDescent="0.25">
      <c r="B177" s="80"/>
    </row>
    <row r="178" spans="2:2" x14ac:dyDescent="0.25">
      <c r="B178" s="80"/>
    </row>
    <row r="179" spans="2:2" x14ac:dyDescent="0.25">
      <c r="B179" s="80"/>
    </row>
    <row r="180" spans="2:2" x14ac:dyDescent="0.25">
      <c r="B180" s="80"/>
    </row>
    <row r="181" spans="2:2" x14ac:dyDescent="0.25">
      <c r="B181" s="80"/>
    </row>
    <row r="182" spans="2:2" x14ac:dyDescent="0.25">
      <c r="B182" s="80"/>
    </row>
    <row r="183" spans="2:2" x14ac:dyDescent="0.25">
      <c r="B183" s="80"/>
    </row>
    <row r="184" spans="2:2" x14ac:dyDescent="0.25">
      <c r="B184" s="80"/>
    </row>
    <row r="185" spans="2:2" x14ac:dyDescent="0.25">
      <c r="B185" s="80"/>
    </row>
    <row r="186" spans="2:2" x14ac:dyDescent="0.25">
      <c r="B186" s="80"/>
    </row>
    <row r="187" spans="2:2" x14ac:dyDescent="0.25">
      <c r="B187" s="80"/>
    </row>
    <row r="188" spans="2:2" x14ac:dyDescent="0.25">
      <c r="B188" s="80"/>
    </row>
    <row r="189" spans="2:2" x14ac:dyDescent="0.25">
      <c r="B189" s="80"/>
    </row>
    <row r="190" spans="2:2" x14ac:dyDescent="0.25">
      <c r="B190" s="80"/>
    </row>
    <row r="191" spans="2:2" x14ac:dyDescent="0.25">
      <c r="B191" s="80"/>
    </row>
    <row r="192" spans="2:2" x14ac:dyDescent="0.25">
      <c r="B192" s="80"/>
    </row>
    <row r="193" spans="2:2" x14ac:dyDescent="0.25">
      <c r="B193" s="80"/>
    </row>
    <row r="194" spans="2:2" x14ac:dyDescent="0.25">
      <c r="B194" s="80"/>
    </row>
    <row r="195" spans="2:2" x14ac:dyDescent="0.25">
      <c r="B195" s="80"/>
    </row>
    <row r="196" spans="2:2" x14ac:dyDescent="0.25">
      <c r="B196" s="80"/>
    </row>
    <row r="197" spans="2:2" x14ac:dyDescent="0.25">
      <c r="B197" s="80"/>
    </row>
    <row r="198" spans="2:2" x14ac:dyDescent="0.25">
      <c r="B198" s="80"/>
    </row>
    <row r="199" spans="2:2" x14ac:dyDescent="0.25">
      <c r="B199" s="80"/>
    </row>
    <row r="200" spans="2:2" x14ac:dyDescent="0.25">
      <c r="B200" s="80"/>
    </row>
    <row r="201" spans="2:2" x14ac:dyDescent="0.25">
      <c r="B201" s="80"/>
    </row>
    <row r="202" spans="2:2" x14ac:dyDescent="0.25">
      <c r="B202" s="80"/>
    </row>
    <row r="203" spans="2:2" x14ac:dyDescent="0.25">
      <c r="B203" s="80"/>
    </row>
    <row r="204" spans="2:2" x14ac:dyDescent="0.25">
      <c r="B204" s="80"/>
    </row>
    <row r="205" spans="2:2" x14ac:dyDescent="0.25">
      <c r="B205" s="80"/>
    </row>
    <row r="206" spans="2:2" x14ac:dyDescent="0.25">
      <c r="B206" s="80"/>
    </row>
    <row r="207" spans="2:2" x14ac:dyDescent="0.25">
      <c r="B207" s="80"/>
    </row>
    <row r="208" spans="2:2" x14ac:dyDescent="0.25">
      <c r="B208" s="80"/>
    </row>
    <row r="209" spans="2:2" x14ac:dyDescent="0.25">
      <c r="B209" s="80"/>
    </row>
    <row r="210" spans="2:2" x14ac:dyDescent="0.25">
      <c r="B210" s="80"/>
    </row>
    <row r="211" spans="2:2" x14ac:dyDescent="0.25">
      <c r="B211" s="80"/>
    </row>
    <row r="212" spans="2:2" x14ac:dyDescent="0.25">
      <c r="B212" s="80"/>
    </row>
    <row r="213" spans="2:2" x14ac:dyDescent="0.25">
      <c r="B213" s="80"/>
    </row>
    <row r="214" spans="2:2" x14ac:dyDescent="0.25">
      <c r="B214" s="80"/>
    </row>
    <row r="215" spans="2:2" x14ac:dyDescent="0.25">
      <c r="B215" s="80"/>
    </row>
    <row r="216" spans="2:2" x14ac:dyDescent="0.25">
      <c r="B216" s="80"/>
    </row>
    <row r="217" spans="2:2" x14ac:dyDescent="0.25">
      <c r="B217" s="80"/>
    </row>
    <row r="218" spans="2:2" x14ac:dyDescent="0.25">
      <c r="B218" s="80"/>
    </row>
    <row r="219" spans="2:2" x14ac:dyDescent="0.25">
      <c r="B219" s="80"/>
    </row>
    <row r="220" spans="2:2" x14ac:dyDescent="0.25">
      <c r="B220" s="80"/>
    </row>
    <row r="221" spans="2:2" x14ac:dyDescent="0.25">
      <c r="B221" s="80"/>
    </row>
    <row r="222" spans="2:2" x14ac:dyDescent="0.25">
      <c r="B222" s="80"/>
    </row>
    <row r="223" spans="2:2" x14ac:dyDescent="0.25">
      <c r="B223" s="80"/>
    </row>
    <row r="224" spans="2:2" x14ac:dyDescent="0.25">
      <c r="B224" s="80"/>
    </row>
    <row r="225" spans="2:2" x14ac:dyDescent="0.25">
      <c r="B225" s="80"/>
    </row>
    <row r="226" spans="2:2" x14ac:dyDescent="0.25">
      <c r="B226" s="80"/>
    </row>
    <row r="227" spans="2:2" x14ac:dyDescent="0.25">
      <c r="B227" s="80"/>
    </row>
    <row r="228" spans="2:2" x14ac:dyDescent="0.25">
      <c r="B228" s="80"/>
    </row>
    <row r="229" spans="2:2" x14ac:dyDescent="0.25">
      <c r="B229" s="80"/>
    </row>
    <row r="230" spans="2:2" x14ac:dyDescent="0.25">
      <c r="B230" s="80"/>
    </row>
    <row r="231" spans="2:2" x14ac:dyDescent="0.25">
      <c r="B231" s="80"/>
    </row>
    <row r="232" spans="2:2" x14ac:dyDescent="0.25">
      <c r="B232" s="80"/>
    </row>
    <row r="233" spans="2:2" x14ac:dyDescent="0.25">
      <c r="B233" s="80"/>
    </row>
    <row r="234" spans="2:2" x14ac:dyDescent="0.25">
      <c r="B234" s="80"/>
    </row>
    <row r="235" spans="2:2" x14ac:dyDescent="0.25">
      <c r="B235" s="80"/>
    </row>
    <row r="236" spans="2:2" x14ac:dyDescent="0.25">
      <c r="B236" s="80"/>
    </row>
    <row r="237" spans="2:2" x14ac:dyDescent="0.25">
      <c r="B237" s="80"/>
    </row>
    <row r="238" spans="2:2" x14ac:dyDescent="0.25">
      <c r="B238" s="80"/>
    </row>
    <row r="239" spans="2:2" x14ac:dyDescent="0.25">
      <c r="B239" s="80"/>
    </row>
    <row r="240" spans="2:2" x14ac:dyDescent="0.25">
      <c r="B240" s="80"/>
    </row>
    <row r="241" spans="2:2" x14ac:dyDescent="0.25">
      <c r="B241" s="80"/>
    </row>
    <row r="242" spans="2:2" x14ac:dyDescent="0.25">
      <c r="B242" s="80"/>
    </row>
    <row r="243" spans="2:2" x14ac:dyDescent="0.25">
      <c r="B243" s="80"/>
    </row>
    <row r="244" spans="2:2" x14ac:dyDescent="0.25">
      <c r="B244" s="80"/>
    </row>
    <row r="245" spans="2:2" x14ac:dyDescent="0.25">
      <c r="B245" s="80"/>
    </row>
    <row r="246" spans="2:2" x14ac:dyDescent="0.25">
      <c r="B246" s="80"/>
    </row>
    <row r="247" spans="2:2" x14ac:dyDescent="0.25">
      <c r="B247" s="80"/>
    </row>
    <row r="248" spans="2:2" x14ac:dyDescent="0.25">
      <c r="B248" s="80"/>
    </row>
    <row r="249" spans="2:2" x14ac:dyDescent="0.25">
      <c r="B249" s="80"/>
    </row>
    <row r="250" spans="2:2" x14ac:dyDescent="0.25">
      <c r="B250" s="80"/>
    </row>
    <row r="251" spans="2:2" x14ac:dyDescent="0.25">
      <c r="B251" s="80"/>
    </row>
    <row r="252" spans="2:2" x14ac:dyDescent="0.25">
      <c r="B252" s="80"/>
    </row>
    <row r="253" spans="2:2" x14ac:dyDescent="0.25">
      <c r="B253" s="80"/>
    </row>
    <row r="254" spans="2:2" x14ac:dyDescent="0.25">
      <c r="B254" s="80"/>
    </row>
    <row r="255" spans="2:2" x14ac:dyDescent="0.25">
      <c r="B255" s="80"/>
    </row>
    <row r="256" spans="2:2" x14ac:dyDescent="0.25">
      <c r="B256" s="80"/>
    </row>
    <row r="521" spans="2:2" x14ac:dyDescent="0.25">
      <c r="B521" s="80"/>
    </row>
    <row r="522" spans="2:2" x14ac:dyDescent="0.25">
      <c r="B522" s="80"/>
    </row>
    <row r="523" spans="2:2" x14ac:dyDescent="0.25">
      <c r="B523" s="80"/>
    </row>
    <row r="524" spans="2:2" x14ac:dyDescent="0.25">
      <c r="B524" s="80"/>
    </row>
    <row r="525" spans="2:2" x14ac:dyDescent="0.25">
      <c r="B525" s="80"/>
    </row>
    <row r="526" spans="2:2" x14ac:dyDescent="0.25">
      <c r="B526" s="80"/>
    </row>
    <row r="527" spans="2:2" x14ac:dyDescent="0.25">
      <c r="B527" s="80"/>
    </row>
    <row r="528" spans="2:2" x14ac:dyDescent="0.25">
      <c r="B528" s="80"/>
    </row>
    <row r="529" spans="2:2" x14ac:dyDescent="0.25">
      <c r="B529" s="80"/>
    </row>
    <row r="530" spans="2:2" x14ac:dyDescent="0.25">
      <c r="B530" s="80"/>
    </row>
    <row r="531" spans="2:2" x14ac:dyDescent="0.25">
      <c r="B531" s="80"/>
    </row>
    <row r="532" spans="2:2" x14ac:dyDescent="0.25">
      <c r="B532" s="80"/>
    </row>
    <row r="533" spans="2:2" x14ac:dyDescent="0.25">
      <c r="B533" s="80"/>
    </row>
    <row r="534" spans="2:2" x14ac:dyDescent="0.25">
      <c r="B534" s="80"/>
    </row>
    <row r="535" spans="2:2" x14ac:dyDescent="0.25">
      <c r="B535" s="80"/>
    </row>
    <row r="536" spans="2:2" x14ac:dyDescent="0.25">
      <c r="B536" s="80"/>
    </row>
    <row r="537" spans="2:2" x14ac:dyDescent="0.25">
      <c r="B537" s="80"/>
    </row>
    <row r="538" spans="2:2" x14ac:dyDescent="0.25">
      <c r="B538" s="80"/>
    </row>
    <row r="539" spans="2:2" x14ac:dyDescent="0.25">
      <c r="B539" s="80"/>
    </row>
    <row r="540" spans="2:2" x14ac:dyDescent="0.25">
      <c r="B540" s="80"/>
    </row>
    <row r="541" spans="2:2" x14ac:dyDescent="0.25">
      <c r="B541" s="80"/>
    </row>
    <row r="542" spans="2:2" x14ac:dyDescent="0.25">
      <c r="B542" s="80"/>
    </row>
    <row r="543" spans="2:2" x14ac:dyDescent="0.25">
      <c r="B543" s="80"/>
    </row>
    <row r="544" spans="2:2" x14ac:dyDescent="0.25">
      <c r="B544" s="80"/>
    </row>
    <row r="545" spans="2:2" x14ac:dyDescent="0.25">
      <c r="B545" s="80"/>
    </row>
    <row r="546" spans="2:2" x14ac:dyDescent="0.25">
      <c r="B546" s="80"/>
    </row>
    <row r="547" spans="2:2" x14ac:dyDescent="0.25">
      <c r="B547" s="80"/>
    </row>
    <row r="548" spans="2:2" x14ac:dyDescent="0.25">
      <c r="B548" s="80"/>
    </row>
    <row r="549" spans="2:2" x14ac:dyDescent="0.25">
      <c r="B549" s="80"/>
    </row>
    <row r="550" spans="2:2" x14ac:dyDescent="0.25">
      <c r="B550" s="80"/>
    </row>
    <row r="551" spans="2:2" x14ac:dyDescent="0.25">
      <c r="B551" s="80"/>
    </row>
    <row r="552" spans="2:2" x14ac:dyDescent="0.25">
      <c r="B552" s="80"/>
    </row>
    <row r="553" spans="2:2" x14ac:dyDescent="0.25">
      <c r="B553" s="80"/>
    </row>
    <row r="554" spans="2:2" x14ac:dyDescent="0.25">
      <c r="B554" s="80"/>
    </row>
    <row r="555" spans="2:2" x14ac:dyDescent="0.25">
      <c r="B555" s="80"/>
    </row>
    <row r="556" spans="2:2" x14ac:dyDescent="0.25">
      <c r="B556" s="80"/>
    </row>
    <row r="557" spans="2:2" x14ac:dyDescent="0.25">
      <c r="B557" s="80"/>
    </row>
    <row r="558" spans="2:2" x14ac:dyDescent="0.25">
      <c r="B558" s="80"/>
    </row>
    <row r="559" spans="2:2" x14ac:dyDescent="0.25">
      <c r="B559" s="80"/>
    </row>
    <row r="560" spans="2:2" x14ac:dyDescent="0.25">
      <c r="B560" s="80"/>
    </row>
    <row r="561" spans="2:2" x14ac:dyDescent="0.25">
      <c r="B561" s="80"/>
    </row>
    <row r="562" spans="2:2" x14ac:dyDescent="0.25">
      <c r="B562" s="80"/>
    </row>
    <row r="563" spans="2:2" x14ac:dyDescent="0.25">
      <c r="B563" s="80"/>
    </row>
    <row r="564" spans="2:2" x14ac:dyDescent="0.25">
      <c r="B564" s="80"/>
    </row>
    <row r="565" spans="2:2" x14ac:dyDescent="0.25">
      <c r="B565" s="80"/>
    </row>
    <row r="566" spans="2:2" x14ac:dyDescent="0.25">
      <c r="B566" s="80"/>
    </row>
    <row r="567" spans="2:2" x14ac:dyDescent="0.25">
      <c r="B567" s="80"/>
    </row>
    <row r="568" spans="2:2" x14ac:dyDescent="0.25">
      <c r="B568" s="80"/>
    </row>
    <row r="569" spans="2:2" x14ac:dyDescent="0.25">
      <c r="B569" s="80"/>
    </row>
    <row r="570" spans="2:2" x14ac:dyDescent="0.25">
      <c r="B570" s="80"/>
    </row>
    <row r="571" spans="2:2" x14ac:dyDescent="0.25">
      <c r="B571" s="80"/>
    </row>
    <row r="572" spans="2:2" x14ac:dyDescent="0.25">
      <c r="B572" s="80"/>
    </row>
    <row r="573" spans="2:2" x14ac:dyDescent="0.25">
      <c r="B573" s="80"/>
    </row>
    <row r="574" spans="2:2" x14ac:dyDescent="0.25">
      <c r="B574" s="80"/>
    </row>
    <row r="575" spans="2:2" x14ac:dyDescent="0.25">
      <c r="B575" s="80"/>
    </row>
    <row r="576" spans="2:2" x14ac:dyDescent="0.25">
      <c r="B576" s="80"/>
    </row>
    <row r="577" spans="2:2" x14ac:dyDescent="0.25">
      <c r="B577" s="80"/>
    </row>
    <row r="578" spans="2:2" x14ac:dyDescent="0.25">
      <c r="B578" s="80"/>
    </row>
    <row r="579" spans="2:2" x14ac:dyDescent="0.25">
      <c r="B579" s="80"/>
    </row>
    <row r="580" spans="2:2" x14ac:dyDescent="0.25">
      <c r="B580" s="80"/>
    </row>
    <row r="581" spans="2:2" x14ac:dyDescent="0.25">
      <c r="B581" s="80"/>
    </row>
    <row r="582" spans="2:2" x14ac:dyDescent="0.25">
      <c r="B582" s="80"/>
    </row>
    <row r="583" spans="2:2" x14ac:dyDescent="0.25">
      <c r="B583" s="80"/>
    </row>
    <row r="584" spans="2:2" x14ac:dyDescent="0.25">
      <c r="B584" s="80"/>
    </row>
    <row r="585" spans="2:2" x14ac:dyDescent="0.25">
      <c r="B585" s="80"/>
    </row>
    <row r="586" spans="2:2" x14ac:dyDescent="0.25">
      <c r="B586" s="80"/>
    </row>
    <row r="587" spans="2:2" x14ac:dyDescent="0.25">
      <c r="B587" s="80"/>
    </row>
    <row r="588" spans="2:2" x14ac:dyDescent="0.25">
      <c r="B588" s="80"/>
    </row>
    <row r="589" spans="2:2" x14ac:dyDescent="0.25">
      <c r="B589" s="80"/>
    </row>
    <row r="590" spans="2:2" x14ac:dyDescent="0.25">
      <c r="B590" s="80"/>
    </row>
    <row r="591" spans="2:2" x14ac:dyDescent="0.25">
      <c r="B591" s="80"/>
    </row>
    <row r="592" spans="2:2" x14ac:dyDescent="0.25">
      <c r="B592" s="80"/>
    </row>
    <row r="593" spans="2:2" x14ac:dyDescent="0.25">
      <c r="B593" s="80"/>
    </row>
    <row r="594" spans="2:2" x14ac:dyDescent="0.25">
      <c r="B594" s="80"/>
    </row>
    <row r="595" spans="2:2" x14ac:dyDescent="0.25">
      <c r="B595" s="80"/>
    </row>
    <row r="596" spans="2:2" x14ac:dyDescent="0.25">
      <c r="B596" s="80"/>
    </row>
    <row r="597" spans="2:2" x14ac:dyDescent="0.25">
      <c r="B597" s="80"/>
    </row>
    <row r="598" spans="2:2" x14ac:dyDescent="0.25">
      <c r="B598" s="80"/>
    </row>
    <row r="599" spans="2:2" x14ac:dyDescent="0.25">
      <c r="B599" s="80"/>
    </row>
    <row r="600" spans="2:2" x14ac:dyDescent="0.25">
      <c r="B600" s="80"/>
    </row>
    <row r="601" spans="2:2" x14ac:dyDescent="0.25">
      <c r="B601" s="80"/>
    </row>
    <row r="602" spans="2:2" x14ac:dyDescent="0.25">
      <c r="B602" s="80"/>
    </row>
    <row r="603" spans="2:2" x14ac:dyDescent="0.25">
      <c r="B603" s="80"/>
    </row>
    <row r="604" spans="2:2" x14ac:dyDescent="0.25">
      <c r="B604" s="80"/>
    </row>
    <row r="605" spans="2:2" x14ac:dyDescent="0.25">
      <c r="B605" s="80"/>
    </row>
    <row r="606" spans="2:2" x14ac:dyDescent="0.25">
      <c r="B606" s="80"/>
    </row>
    <row r="607" spans="2:2" x14ac:dyDescent="0.25">
      <c r="B607" s="80"/>
    </row>
    <row r="608" spans="2:2" x14ac:dyDescent="0.25">
      <c r="B608" s="80"/>
    </row>
    <row r="609" spans="2:2" x14ac:dyDescent="0.25">
      <c r="B609" s="80"/>
    </row>
    <row r="610" spans="2:2" x14ac:dyDescent="0.25">
      <c r="B610" s="80"/>
    </row>
    <row r="611" spans="2:2" x14ac:dyDescent="0.25">
      <c r="B611" s="80"/>
    </row>
    <row r="612" spans="2:2" x14ac:dyDescent="0.25">
      <c r="B612" s="80"/>
    </row>
    <row r="613" spans="2:2" x14ac:dyDescent="0.25">
      <c r="B613" s="80"/>
    </row>
    <row r="614" spans="2:2" x14ac:dyDescent="0.25">
      <c r="B614" s="80"/>
    </row>
    <row r="615" spans="2:2" x14ac:dyDescent="0.25">
      <c r="B615" s="80"/>
    </row>
    <row r="616" spans="2:2" x14ac:dyDescent="0.25">
      <c r="B616" s="80"/>
    </row>
    <row r="617" spans="2:2" x14ac:dyDescent="0.25">
      <c r="B617" s="80"/>
    </row>
    <row r="618" spans="2:2" x14ac:dyDescent="0.25">
      <c r="B618" s="80"/>
    </row>
    <row r="619" spans="2:2" x14ac:dyDescent="0.25">
      <c r="B619" s="80"/>
    </row>
    <row r="620" spans="2:2" x14ac:dyDescent="0.25">
      <c r="B620" s="80"/>
    </row>
    <row r="621" spans="2:2" x14ac:dyDescent="0.25">
      <c r="B621" s="80"/>
    </row>
    <row r="622" spans="2:2" x14ac:dyDescent="0.25">
      <c r="B622" s="80"/>
    </row>
    <row r="623" spans="2:2" x14ac:dyDescent="0.25">
      <c r="B623" s="80"/>
    </row>
    <row r="624" spans="2:2" x14ac:dyDescent="0.25">
      <c r="B624" s="80"/>
    </row>
    <row r="625" spans="2:2" x14ac:dyDescent="0.25">
      <c r="B625" s="80"/>
    </row>
    <row r="626" spans="2:2" x14ac:dyDescent="0.25">
      <c r="B626" s="80"/>
    </row>
    <row r="627" spans="2:2" x14ac:dyDescent="0.25">
      <c r="B627" s="80"/>
    </row>
    <row r="628" spans="2:2" x14ac:dyDescent="0.25">
      <c r="B628" s="80"/>
    </row>
    <row r="629" spans="2:2" x14ac:dyDescent="0.25">
      <c r="B629" s="80"/>
    </row>
    <row r="630" spans="2:2" x14ac:dyDescent="0.25">
      <c r="B630" s="80"/>
    </row>
    <row r="631" spans="2:2" x14ac:dyDescent="0.25">
      <c r="B631" s="80"/>
    </row>
    <row r="632" spans="2:2" x14ac:dyDescent="0.25">
      <c r="B632" s="80"/>
    </row>
    <row r="633" spans="2:2" x14ac:dyDescent="0.25">
      <c r="B633" s="80"/>
    </row>
    <row r="634" spans="2:2" x14ac:dyDescent="0.25">
      <c r="B634" s="80"/>
    </row>
    <row r="635" spans="2:2" x14ac:dyDescent="0.25">
      <c r="B635" s="80"/>
    </row>
    <row r="636" spans="2:2" x14ac:dyDescent="0.25">
      <c r="B636" s="80"/>
    </row>
    <row r="637" spans="2:2" x14ac:dyDescent="0.25">
      <c r="B637" s="80"/>
    </row>
    <row r="638" spans="2:2" x14ac:dyDescent="0.25">
      <c r="B638" s="80"/>
    </row>
    <row r="639" spans="2:2" x14ac:dyDescent="0.25">
      <c r="B639" s="80"/>
    </row>
    <row r="640" spans="2:2" x14ac:dyDescent="0.25">
      <c r="B640" s="80"/>
    </row>
    <row r="641" spans="2:2" x14ac:dyDescent="0.25">
      <c r="B641" s="80"/>
    </row>
    <row r="642" spans="2:2" x14ac:dyDescent="0.25">
      <c r="B642" s="80"/>
    </row>
    <row r="643" spans="2:2" x14ac:dyDescent="0.25">
      <c r="B643" s="80"/>
    </row>
    <row r="644" spans="2:2" x14ac:dyDescent="0.25">
      <c r="B644" s="80"/>
    </row>
    <row r="645" spans="2:2" x14ac:dyDescent="0.25">
      <c r="B645" s="80"/>
    </row>
    <row r="646" spans="2:2" x14ac:dyDescent="0.25">
      <c r="B646" s="80"/>
    </row>
    <row r="647" spans="2:2" x14ac:dyDescent="0.25">
      <c r="B647" s="80"/>
    </row>
    <row r="648" spans="2:2" x14ac:dyDescent="0.25">
      <c r="B648" s="80"/>
    </row>
    <row r="649" spans="2:2" x14ac:dyDescent="0.25">
      <c r="B649" s="80"/>
    </row>
    <row r="650" spans="2:2" x14ac:dyDescent="0.25">
      <c r="B650" s="80"/>
    </row>
    <row r="651" spans="2:2" x14ac:dyDescent="0.25">
      <c r="B651" s="80"/>
    </row>
    <row r="652" spans="2:2" x14ac:dyDescent="0.25">
      <c r="B652" s="80"/>
    </row>
    <row r="653" spans="2:2" x14ac:dyDescent="0.25">
      <c r="B653" s="80"/>
    </row>
    <row r="654" spans="2:2" x14ac:dyDescent="0.25">
      <c r="B654" s="80"/>
    </row>
    <row r="655" spans="2:2" x14ac:dyDescent="0.25">
      <c r="B655" s="80"/>
    </row>
    <row r="656" spans="2:2" x14ac:dyDescent="0.25">
      <c r="B656" s="80"/>
    </row>
    <row r="657" spans="2:2" x14ac:dyDescent="0.25">
      <c r="B657" s="80"/>
    </row>
    <row r="658" spans="2:2" x14ac:dyDescent="0.25">
      <c r="B658" s="80"/>
    </row>
    <row r="659" spans="2:2" x14ac:dyDescent="0.25">
      <c r="B659" s="80"/>
    </row>
    <row r="660" spans="2:2" x14ac:dyDescent="0.25">
      <c r="B660" s="80"/>
    </row>
    <row r="661" spans="2:2" x14ac:dyDescent="0.25">
      <c r="B661" s="80"/>
    </row>
    <row r="662" spans="2:2" x14ac:dyDescent="0.25">
      <c r="B662" s="80"/>
    </row>
    <row r="663" spans="2:2" x14ac:dyDescent="0.25">
      <c r="B663" s="80"/>
    </row>
    <row r="664" spans="2:2" x14ac:dyDescent="0.25">
      <c r="B664" s="80"/>
    </row>
    <row r="665" spans="2:2" x14ac:dyDescent="0.25">
      <c r="B665" s="80"/>
    </row>
    <row r="666" spans="2:2" x14ac:dyDescent="0.25">
      <c r="B666" s="80"/>
    </row>
    <row r="667" spans="2:2" x14ac:dyDescent="0.25">
      <c r="B667" s="80"/>
    </row>
    <row r="668" spans="2:2" x14ac:dyDescent="0.25">
      <c r="B668" s="80"/>
    </row>
    <row r="669" spans="2:2" x14ac:dyDescent="0.25">
      <c r="B669" s="80"/>
    </row>
    <row r="670" spans="2:2" x14ac:dyDescent="0.25">
      <c r="B670" s="80"/>
    </row>
    <row r="671" spans="2:2" x14ac:dyDescent="0.25">
      <c r="B671" s="80"/>
    </row>
    <row r="672" spans="2:2" x14ac:dyDescent="0.25">
      <c r="B672" s="80"/>
    </row>
    <row r="673" spans="2:2" x14ac:dyDescent="0.25">
      <c r="B673" s="80"/>
    </row>
    <row r="674" spans="2:2" x14ac:dyDescent="0.25">
      <c r="B674" s="80"/>
    </row>
    <row r="675" spans="2:2" x14ac:dyDescent="0.25">
      <c r="B675" s="80"/>
    </row>
    <row r="676" spans="2:2" x14ac:dyDescent="0.25">
      <c r="B676" s="80"/>
    </row>
    <row r="677" spans="2:2" x14ac:dyDescent="0.25">
      <c r="B677" s="80"/>
    </row>
    <row r="678" spans="2:2" x14ac:dyDescent="0.25">
      <c r="B678" s="80"/>
    </row>
    <row r="679" spans="2:2" x14ac:dyDescent="0.25">
      <c r="B679" s="80"/>
    </row>
    <row r="680" spans="2:2" x14ac:dyDescent="0.25">
      <c r="B680" s="80"/>
    </row>
    <row r="681" spans="2:2" x14ac:dyDescent="0.25">
      <c r="B681" s="80"/>
    </row>
    <row r="682" spans="2:2" x14ac:dyDescent="0.25">
      <c r="B682" s="80"/>
    </row>
    <row r="683" spans="2:2" x14ac:dyDescent="0.25">
      <c r="B683" s="80"/>
    </row>
    <row r="684" spans="2:2" x14ac:dyDescent="0.25">
      <c r="B684" s="80"/>
    </row>
    <row r="685" spans="2:2" x14ac:dyDescent="0.25">
      <c r="B685" s="80"/>
    </row>
    <row r="686" spans="2:2" x14ac:dyDescent="0.25">
      <c r="B686" s="80"/>
    </row>
    <row r="687" spans="2:2" x14ac:dyDescent="0.25">
      <c r="B687" s="80"/>
    </row>
    <row r="688" spans="2:2" x14ac:dyDescent="0.25">
      <c r="B688" s="80"/>
    </row>
    <row r="689" spans="2:2" x14ac:dyDescent="0.25">
      <c r="B689" s="80"/>
    </row>
    <row r="690" spans="2:2" x14ac:dyDescent="0.25">
      <c r="B690" s="80"/>
    </row>
    <row r="691" spans="2:2" x14ac:dyDescent="0.25">
      <c r="B691" s="80"/>
    </row>
    <row r="692" spans="2:2" x14ac:dyDescent="0.25">
      <c r="B692" s="80"/>
    </row>
    <row r="693" spans="2:2" x14ac:dyDescent="0.25">
      <c r="B693" s="80"/>
    </row>
    <row r="694" spans="2:2" x14ac:dyDescent="0.25">
      <c r="B694" s="80"/>
    </row>
    <row r="695" spans="2:2" x14ac:dyDescent="0.25">
      <c r="B695" s="80"/>
    </row>
    <row r="696" spans="2:2" x14ac:dyDescent="0.25">
      <c r="B696" s="80"/>
    </row>
    <row r="697" spans="2:2" x14ac:dyDescent="0.25">
      <c r="B697" s="80"/>
    </row>
    <row r="698" spans="2:2" x14ac:dyDescent="0.25">
      <c r="B698" s="80"/>
    </row>
    <row r="699" spans="2:2" x14ac:dyDescent="0.25">
      <c r="B699" s="80"/>
    </row>
    <row r="700" spans="2:2" x14ac:dyDescent="0.25">
      <c r="B700" s="80"/>
    </row>
    <row r="701" spans="2:2" x14ac:dyDescent="0.25">
      <c r="B701" s="80"/>
    </row>
    <row r="702" spans="2:2" x14ac:dyDescent="0.25">
      <c r="B702" s="80"/>
    </row>
    <row r="703" spans="2:2" x14ac:dyDescent="0.25">
      <c r="B703" s="80"/>
    </row>
    <row r="704" spans="2:2" x14ac:dyDescent="0.25">
      <c r="B704" s="80"/>
    </row>
    <row r="705" spans="2:2" x14ac:dyDescent="0.25">
      <c r="B705" s="80"/>
    </row>
    <row r="706" spans="2:2" x14ac:dyDescent="0.25">
      <c r="B706" s="80"/>
    </row>
    <row r="707" spans="2:2" x14ac:dyDescent="0.25">
      <c r="B707" s="80"/>
    </row>
    <row r="708" spans="2:2" x14ac:dyDescent="0.25">
      <c r="B708" s="80"/>
    </row>
    <row r="709" spans="2:2" x14ac:dyDescent="0.25">
      <c r="B709" s="80"/>
    </row>
    <row r="710" spans="2:2" x14ac:dyDescent="0.25">
      <c r="B710" s="80"/>
    </row>
    <row r="711" spans="2:2" x14ac:dyDescent="0.25">
      <c r="B711" s="80"/>
    </row>
    <row r="712" spans="2:2" x14ac:dyDescent="0.25">
      <c r="B712" s="80"/>
    </row>
    <row r="713" spans="2:2" x14ac:dyDescent="0.25">
      <c r="B713" s="80"/>
    </row>
    <row r="714" spans="2:2" x14ac:dyDescent="0.25">
      <c r="B714" s="80"/>
    </row>
    <row r="715" spans="2:2" x14ac:dyDescent="0.25">
      <c r="B715" s="80"/>
    </row>
    <row r="716" spans="2:2" x14ac:dyDescent="0.25">
      <c r="B716" s="80"/>
    </row>
    <row r="717" spans="2:2" x14ac:dyDescent="0.25">
      <c r="B717" s="80"/>
    </row>
    <row r="718" spans="2:2" x14ac:dyDescent="0.25">
      <c r="B718" s="80"/>
    </row>
    <row r="719" spans="2:2" x14ac:dyDescent="0.25">
      <c r="B719" s="80"/>
    </row>
    <row r="720" spans="2:2" x14ac:dyDescent="0.25">
      <c r="B720" s="80"/>
    </row>
    <row r="721" spans="2:2" x14ac:dyDescent="0.25">
      <c r="B721" s="80"/>
    </row>
    <row r="722" spans="2:2" x14ac:dyDescent="0.25">
      <c r="B722" s="80"/>
    </row>
    <row r="723" spans="2:2" x14ac:dyDescent="0.25">
      <c r="B723" s="80"/>
    </row>
    <row r="724" spans="2:2" x14ac:dyDescent="0.25">
      <c r="B724" s="80"/>
    </row>
    <row r="725" spans="2:2" x14ac:dyDescent="0.25">
      <c r="B725" s="80"/>
    </row>
    <row r="726" spans="2:2" x14ac:dyDescent="0.25">
      <c r="B726" s="80"/>
    </row>
    <row r="727" spans="2:2" x14ac:dyDescent="0.25">
      <c r="B727" s="80"/>
    </row>
    <row r="728" spans="2:2" x14ac:dyDescent="0.25">
      <c r="B728" s="80"/>
    </row>
    <row r="729" spans="2:2" x14ac:dyDescent="0.25">
      <c r="B729" s="80"/>
    </row>
    <row r="730" spans="2:2" x14ac:dyDescent="0.25">
      <c r="B730" s="80"/>
    </row>
    <row r="731" spans="2:2" x14ac:dyDescent="0.25">
      <c r="B731" s="80"/>
    </row>
    <row r="732" spans="2:2" x14ac:dyDescent="0.25">
      <c r="B732" s="80"/>
    </row>
    <row r="733" spans="2:2" x14ac:dyDescent="0.25">
      <c r="B733" s="80"/>
    </row>
    <row r="734" spans="2:2" x14ac:dyDescent="0.25">
      <c r="B734" s="80"/>
    </row>
    <row r="735" spans="2:2" x14ac:dyDescent="0.25">
      <c r="B735" s="80"/>
    </row>
    <row r="736" spans="2:2" x14ac:dyDescent="0.25">
      <c r="B736" s="80"/>
    </row>
    <row r="737" spans="2:2" x14ac:dyDescent="0.25">
      <c r="B737" s="80"/>
    </row>
    <row r="738" spans="2:2" x14ac:dyDescent="0.25">
      <c r="B738" s="80"/>
    </row>
    <row r="739" spans="2:2" x14ac:dyDescent="0.25">
      <c r="B739" s="80"/>
    </row>
    <row r="740" spans="2:2" x14ac:dyDescent="0.25">
      <c r="B740" s="80"/>
    </row>
    <row r="741" spans="2:2" x14ac:dyDescent="0.25">
      <c r="B741" s="80"/>
    </row>
    <row r="742" spans="2:2" x14ac:dyDescent="0.25">
      <c r="B742" s="80"/>
    </row>
    <row r="743" spans="2:2" x14ac:dyDescent="0.25">
      <c r="B743" s="80"/>
    </row>
    <row r="744" spans="2:2" x14ac:dyDescent="0.25">
      <c r="B744" s="80"/>
    </row>
    <row r="745" spans="2:2" x14ac:dyDescent="0.25">
      <c r="B745" s="80"/>
    </row>
    <row r="746" spans="2:2" x14ac:dyDescent="0.25">
      <c r="B746" s="80"/>
    </row>
    <row r="747" spans="2:2" x14ac:dyDescent="0.25">
      <c r="B747" s="80"/>
    </row>
    <row r="748" spans="2:2" x14ac:dyDescent="0.25">
      <c r="B748" s="80"/>
    </row>
    <row r="749" spans="2:2" x14ac:dyDescent="0.25">
      <c r="B749" s="80"/>
    </row>
    <row r="750" spans="2:2" x14ac:dyDescent="0.25">
      <c r="B750" s="80"/>
    </row>
    <row r="751" spans="2:2" x14ac:dyDescent="0.25">
      <c r="B751" s="80"/>
    </row>
    <row r="752" spans="2:2" x14ac:dyDescent="0.25">
      <c r="B752" s="80"/>
    </row>
    <row r="753" spans="2:2" x14ac:dyDescent="0.25">
      <c r="B753" s="80"/>
    </row>
    <row r="754" spans="2:2" x14ac:dyDescent="0.25">
      <c r="B754" s="80"/>
    </row>
    <row r="755" spans="2:2" x14ac:dyDescent="0.25">
      <c r="B755" s="80"/>
    </row>
    <row r="756" spans="2:2" x14ac:dyDescent="0.25">
      <c r="B756" s="80"/>
    </row>
    <row r="757" spans="2:2" x14ac:dyDescent="0.25">
      <c r="B757" s="80"/>
    </row>
    <row r="758" spans="2:2" x14ac:dyDescent="0.25">
      <c r="B758" s="80"/>
    </row>
    <row r="759" spans="2:2" x14ac:dyDescent="0.25">
      <c r="B759" s="80"/>
    </row>
    <row r="760" spans="2:2" x14ac:dyDescent="0.25">
      <c r="B760" s="80"/>
    </row>
    <row r="761" spans="2:2" x14ac:dyDescent="0.25">
      <c r="B761" s="80"/>
    </row>
    <row r="762" spans="2:2" x14ac:dyDescent="0.25">
      <c r="B762" s="80"/>
    </row>
    <row r="763" spans="2:2" x14ac:dyDescent="0.25">
      <c r="B763" s="80"/>
    </row>
    <row r="764" spans="2:2" x14ac:dyDescent="0.25">
      <c r="B764" s="80"/>
    </row>
    <row r="765" spans="2:2" x14ac:dyDescent="0.25">
      <c r="B765" s="80"/>
    </row>
    <row r="766" spans="2:2" x14ac:dyDescent="0.25">
      <c r="B766" s="80"/>
    </row>
    <row r="767" spans="2:2" x14ac:dyDescent="0.25">
      <c r="B767" s="80"/>
    </row>
    <row r="768" spans="2:2" x14ac:dyDescent="0.25">
      <c r="B768" s="80"/>
    </row>
    <row r="769" spans="2:2" x14ac:dyDescent="0.25">
      <c r="B769" s="80"/>
    </row>
    <row r="770" spans="2:2" x14ac:dyDescent="0.25">
      <c r="B770" s="80"/>
    </row>
    <row r="771" spans="2:2" x14ac:dyDescent="0.25">
      <c r="B771" s="80"/>
    </row>
    <row r="772" spans="2:2" x14ac:dyDescent="0.25">
      <c r="B772" s="80"/>
    </row>
    <row r="773" spans="2:2" x14ac:dyDescent="0.25">
      <c r="B773" s="80"/>
    </row>
    <row r="774" spans="2:2" x14ac:dyDescent="0.25">
      <c r="B774" s="80"/>
    </row>
    <row r="775" spans="2:2" x14ac:dyDescent="0.25">
      <c r="B775" s="80"/>
    </row>
    <row r="776" spans="2:2" x14ac:dyDescent="0.25">
      <c r="B776" s="80"/>
    </row>
    <row r="777" spans="2:2" x14ac:dyDescent="0.25">
      <c r="B777" s="80"/>
    </row>
    <row r="778" spans="2:2" x14ac:dyDescent="0.25">
      <c r="B778" s="80"/>
    </row>
    <row r="779" spans="2:2" x14ac:dyDescent="0.25">
      <c r="B779" s="80"/>
    </row>
    <row r="780" spans="2:2" x14ac:dyDescent="0.25">
      <c r="B780" s="80"/>
    </row>
    <row r="781" spans="2:2" x14ac:dyDescent="0.25">
      <c r="B781" s="80"/>
    </row>
    <row r="782" spans="2:2" x14ac:dyDescent="0.25">
      <c r="B782" s="80"/>
    </row>
    <row r="783" spans="2:2" x14ac:dyDescent="0.25">
      <c r="B783" s="80"/>
    </row>
    <row r="784" spans="2:2" x14ac:dyDescent="0.25">
      <c r="B784" s="80"/>
    </row>
    <row r="785" spans="2:2" x14ac:dyDescent="0.25">
      <c r="B785" s="80"/>
    </row>
    <row r="786" spans="2:2" x14ac:dyDescent="0.25">
      <c r="B786" s="80"/>
    </row>
    <row r="787" spans="2:2" x14ac:dyDescent="0.25">
      <c r="B787" s="80"/>
    </row>
    <row r="788" spans="2:2" x14ac:dyDescent="0.25">
      <c r="B788" s="80"/>
    </row>
    <row r="789" spans="2:2" x14ac:dyDescent="0.25">
      <c r="B789" s="80"/>
    </row>
    <row r="790" spans="2:2" x14ac:dyDescent="0.25">
      <c r="B790" s="80"/>
    </row>
    <row r="791" spans="2:2" x14ac:dyDescent="0.25">
      <c r="B791" s="80"/>
    </row>
    <row r="792" spans="2:2" x14ac:dyDescent="0.25">
      <c r="B792" s="80"/>
    </row>
    <row r="793" spans="2:2" x14ac:dyDescent="0.25">
      <c r="B793" s="80"/>
    </row>
    <row r="794" spans="2:2" x14ac:dyDescent="0.25">
      <c r="B794" s="80"/>
    </row>
    <row r="795" spans="2:2" x14ac:dyDescent="0.25">
      <c r="B795" s="80"/>
    </row>
    <row r="796" spans="2:2" x14ac:dyDescent="0.25">
      <c r="B796" s="80"/>
    </row>
    <row r="797" spans="2:2" x14ac:dyDescent="0.25">
      <c r="B797" s="80"/>
    </row>
    <row r="798" spans="2:2" x14ac:dyDescent="0.25">
      <c r="B798" s="80"/>
    </row>
    <row r="799" spans="2:2" x14ac:dyDescent="0.25">
      <c r="B799" s="80"/>
    </row>
    <row r="800" spans="2:2" x14ac:dyDescent="0.25">
      <c r="B800" s="80"/>
    </row>
    <row r="801" spans="2:2" x14ac:dyDescent="0.25">
      <c r="B801" s="80"/>
    </row>
    <row r="802" spans="2:2" x14ac:dyDescent="0.25">
      <c r="B802" s="80"/>
    </row>
    <row r="803" spans="2:2" x14ac:dyDescent="0.25">
      <c r="B803" s="80"/>
    </row>
    <row r="804" spans="2:2" x14ac:dyDescent="0.25">
      <c r="B804" s="80"/>
    </row>
    <row r="805" spans="2:2" x14ac:dyDescent="0.25">
      <c r="B805" s="80"/>
    </row>
    <row r="806" spans="2:2" x14ac:dyDescent="0.25">
      <c r="B806" s="80"/>
    </row>
    <row r="807" spans="2:2" x14ac:dyDescent="0.25">
      <c r="B807" s="80"/>
    </row>
    <row r="808" spans="2:2" x14ac:dyDescent="0.25">
      <c r="B808" s="80"/>
    </row>
    <row r="809" spans="2:2" x14ac:dyDescent="0.25">
      <c r="B809" s="80"/>
    </row>
    <row r="810" spans="2:2" x14ac:dyDescent="0.25">
      <c r="B810" s="80"/>
    </row>
    <row r="811" spans="2:2" x14ac:dyDescent="0.25">
      <c r="B811" s="80"/>
    </row>
    <row r="812" spans="2:2" x14ac:dyDescent="0.25">
      <c r="B812" s="80"/>
    </row>
    <row r="813" spans="2:2" x14ac:dyDescent="0.25">
      <c r="B813" s="80"/>
    </row>
    <row r="814" spans="2:2" x14ac:dyDescent="0.25">
      <c r="B814" s="80"/>
    </row>
    <row r="815" spans="2:2" x14ac:dyDescent="0.25">
      <c r="B815" s="80"/>
    </row>
    <row r="816" spans="2:2" x14ac:dyDescent="0.25">
      <c r="B816" s="80"/>
    </row>
    <row r="817" spans="2:2" x14ac:dyDescent="0.25">
      <c r="B817" s="80"/>
    </row>
    <row r="818" spans="2:2" x14ac:dyDescent="0.25">
      <c r="B818" s="80"/>
    </row>
    <row r="819" spans="2:2" x14ac:dyDescent="0.25">
      <c r="B819" s="80"/>
    </row>
    <row r="820" spans="2:2" x14ac:dyDescent="0.25">
      <c r="B820" s="80"/>
    </row>
    <row r="821" spans="2:2" x14ac:dyDescent="0.25">
      <c r="B821" s="80"/>
    </row>
    <row r="822" spans="2:2" x14ac:dyDescent="0.25">
      <c r="B822" s="80"/>
    </row>
    <row r="823" spans="2:2" x14ac:dyDescent="0.25">
      <c r="B823" s="80"/>
    </row>
    <row r="824" spans="2:2" x14ac:dyDescent="0.25">
      <c r="B824" s="80"/>
    </row>
    <row r="825" spans="2:2" x14ac:dyDescent="0.25">
      <c r="B825" s="80"/>
    </row>
    <row r="826" spans="2:2" x14ac:dyDescent="0.25">
      <c r="B826" s="80"/>
    </row>
    <row r="827" spans="2:2" x14ac:dyDescent="0.25">
      <c r="B827" s="80"/>
    </row>
    <row r="828" spans="2:2" x14ac:dyDescent="0.25">
      <c r="B828" s="80"/>
    </row>
    <row r="829" spans="2:2" x14ac:dyDescent="0.25">
      <c r="B829" s="80"/>
    </row>
    <row r="830" spans="2:2" x14ac:dyDescent="0.25">
      <c r="B830" s="80"/>
    </row>
    <row r="831" spans="2:2" x14ac:dyDescent="0.25">
      <c r="B831" s="80"/>
    </row>
    <row r="832" spans="2:2" x14ac:dyDescent="0.25">
      <c r="B832" s="80"/>
    </row>
    <row r="833" spans="2:2" x14ac:dyDescent="0.25">
      <c r="B833" s="80"/>
    </row>
    <row r="834" spans="2:2" x14ac:dyDescent="0.25">
      <c r="B834" s="80"/>
    </row>
    <row r="835" spans="2:2" x14ac:dyDescent="0.25">
      <c r="B835" s="80"/>
    </row>
    <row r="836" spans="2:2" x14ac:dyDescent="0.25">
      <c r="B836" s="80"/>
    </row>
    <row r="837" spans="2:2" x14ac:dyDescent="0.25">
      <c r="B837" s="80"/>
    </row>
    <row r="838" spans="2:2" x14ac:dyDescent="0.25">
      <c r="B838" s="80"/>
    </row>
    <row r="839" spans="2:2" x14ac:dyDescent="0.25">
      <c r="B839" s="80"/>
    </row>
    <row r="840" spans="2:2" x14ac:dyDescent="0.25">
      <c r="B840" s="80"/>
    </row>
    <row r="841" spans="2:2" x14ac:dyDescent="0.25">
      <c r="B841" s="80"/>
    </row>
    <row r="842" spans="2:2" x14ac:dyDescent="0.25">
      <c r="B842" s="80"/>
    </row>
    <row r="843" spans="2:2" x14ac:dyDescent="0.25">
      <c r="B843" s="80"/>
    </row>
    <row r="844" spans="2:2" x14ac:dyDescent="0.25">
      <c r="B844" s="80"/>
    </row>
    <row r="845" spans="2:2" x14ac:dyDescent="0.25">
      <c r="B845" s="80"/>
    </row>
    <row r="846" spans="2:2" x14ac:dyDescent="0.25">
      <c r="B846" s="80"/>
    </row>
    <row r="847" spans="2:2" x14ac:dyDescent="0.25">
      <c r="B847" s="80"/>
    </row>
    <row r="848" spans="2:2" x14ac:dyDescent="0.25">
      <c r="B848" s="80"/>
    </row>
    <row r="849" spans="2:2" x14ac:dyDescent="0.25">
      <c r="B849" s="80"/>
    </row>
    <row r="850" spans="2:2" x14ac:dyDescent="0.25">
      <c r="B850" s="80"/>
    </row>
  </sheetData>
  <hyperlinks>
    <hyperlink ref="A1" r:id="rId1" xr:uid="{E5C58885-F201-47A7-AB3D-A39857D9DD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Calculations</vt:lpstr>
      <vt:lpstr>Unplanned CMLs</vt:lpstr>
      <vt:lpstr>Planned CML</vt:lpstr>
      <vt:lpstr>Cap-Collar</vt:lpstr>
      <vt:lpstr>FX Rate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Mills, J B</dc:creator>
  <cp:lastModifiedBy>Utility Regulator</cp:lastModifiedBy>
  <dcterms:created xsi:type="dcterms:W3CDTF">2022-05-24T15:20:47Z</dcterms:created>
  <dcterms:modified xsi:type="dcterms:W3CDTF">2024-10-29T10:24:51Z</dcterms:modified>
</cp:coreProperties>
</file>